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firstSheet="1" activeTab="1"/>
  </bookViews>
  <sheets>
    <sheet name="contratación pendiente" sheetId="1" state="hidden" r:id="rId1"/>
    <sheet name="Plan anual de adquisiciones" sheetId="2" r:id="rId2"/>
    <sheet name="PAA 2015-2016" sheetId="3" state="hidden" r:id="rId3"/>
  </sheets>
  <definedNames/>
  <calcPr fullCalcOnLoad="1"/>
</workbook>
</file>

<file path=xl/sharedStrings.xml><?xml version="1.0" encoding="utf-8"?>
<sst xmlns="http://schemas.openxmlformats.org/spreadsheetml/2006/main" count="805" uniqueCount="328">
  <si>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</si>
  <si>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</si>
  <si>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</si>
  <si>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</si>
  <si>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</si>
  <si>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</si>
  <si>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</si>
  <si>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</si>
  <si>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</si>
  <si>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</si>
  <si>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</si>
  <si>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</si>
  <si>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</si>
  <si>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</si>
  <si>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</si>
  <si>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</si>
  <si>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</si>
  <si>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</si>
  <si>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</si>
  <si>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</si>
  <si>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</si>
  <si>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</si>
  <si>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</si>
  <si>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</si>
  <si>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</si>
  <si>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</si>
  <si>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RAMA JUDICIAL. BOGOTÁ CUNDINAMARCA</t>
  </si>
  <si>
    <t>Carrera 10 No.14-33</t>
  </si>
  <si>
    <t>PBX, 3532666 Ext. 6130 - 6095</t>
  </si>
  <si>
    <t>www.ramajudicial.gov.co</t>
  </si>
  <si>
    <t xml:space="preserve">Misión:Dar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Visión:En el año 2025 la Rama Judicial será reconocida a nivel nacional e internacional por su contribución a la sociedad mediante la celeridad en el desarrollo de los procesos judiciales, con decisiones justas y equitativas, acordecon los preceptos legales,respondiendo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lasatisfacción de la demanda de justicia.
</t>
  </si>
  <si>
    <t>Definir y orientar la planeación estratégica de la Organización, a partir del establecimiento de los principios corporativos (valores, normas. políticas y directrices) que soportan la misión y visión de la Entidad, mediante el diagnostico e Identificación de necesidades  y la formulación, ejecución y seguimiento de los planes programas, proyectos, objetivos y políticas institucionales con el propósito de generar  las condiciones adecuadas para la gestión en los recursos asignados a la Rama Judicial.</t>
  </si>
  <si>
    <t>Mínima
Cuantía</t>
  </si>
  <si>
    <t>Recursos
corrientes
(del Tesoro)</t>
  </si>
  <si>
    <t>No</t>
  </si>
  <si>
    <t>N/A</t>
  </si>
  <si>
    <t>43211714   46171619</t>
  </si>
  <si>
    <t>Contratar  el mantenimiento preventivo y correctivo de los sistemas de control de acceso que se encuentran ubicados en las sedes judiciales y administrativas a cargo de la Dirección Ejecutiva Seccional de Administración Judicial Bogotá – Cundinamarca.</t>
  </si>
  <si>
    <t>1 Mes</t>
  </si>
  <si>
    <t>Contratación Directa</t>
  </si>
  <si>
    <t xml:space="preserve">Si </t>
  </si>
  <si>
    <t>1 Año</t>
  </si>
  <si>
    <t>Menor
Cuantía</t>
  </si>
  <si>
    <t>Si</t>
  </si>
  <si>
    <t xml:space="preserve">Contratar la adquisición de televisores y videocámaras y sus accesorios con destino a las salas de audiencia de los despachos judiciales a cargo de la Dirección Ejecutiva Seccional de Administración Judicial Bogotá - Cundinamarca.   </t>
  </si>
  <si>
    <t>Licitación</t>
  </si>
  <si>
    <t>43191509
44101510</t>
  </si>
  <si>
    <t>43191510
72103302</t>
  </si>
  <si>
    <t>Adquirir radios de comunicación con destino a los empleados y funcionarios, así como el  mantenimiento de algunos radios que se encuentran al servicio en las diferentes sedes judiciales y administrativas a cargo de la Dirección Ejecutiva Seccional de Administración Judicial Bogotá - Cundinamarca.</t>
  </si>
  <si>
    <t>56101708
72154066</t>
  </si>
  <si>
    <t>Contratar el mantenimiento del sistema de archivo móvil, compuesto por subsistemas eléctrico, neumático y mecánico, ubicado en una sede judicial, a cargo de la Dirección Ejecutiva Seccional de Administración Judicial Bogotá – Cundinamarca.</t>
  </si>
  <si>
    <t>Realizar el mantenimiento preventivo y correctivo del sistema de riego, instalado en los despachos judiciales y sedes administrativas a cargo de la Dirección Ejecutiva Seccional de Administración Judicial de Bogotá - Cundinamarca.</t>
  </si>
  <si>
    <t xml:space="preserve">Realizar el mantenimiento preventivo al sistema de detección y alarma contra incendios, de algunas sedes judiciales de Bogotá, a cargo de la Dirección Ejecutiva Seccional de Administración Judicial Bogotá – Cundinamarca.  </t>
  </si>
  <si>
    <t>Adquirir los elementos necesarios para la dotación del personal brigadista a cargo de las sedes  administrativas de la Dirección Ejecutiva Seccional de Administración Judicial Bogotá – Cundinamarca.</t>
  </si>
  <si>
    <t>30 días</t>
  </si>
  <si>
    <t>Contratar la obra civil para la adecuación de una zona de esparcimiento (Gimnasio) para los empleados de la Dirección Ejecutiva Seccional de Administración Judicial Bogotá - Cundinamarca.</t>
  </si>
  <si>
    <t>81101500 72101500 72121400 72151100 72151500 72151900</t>
  </si>
  <si>
    <t>3 Meses</t>
  </si>
  <si>
    <t>39101605  39101618  39101620  39111806</t>
  </si>
  <si>
    <t>44121503  44121701  44121706  44122011  44122107  14111818</t>
  </si>
  <si>
    <t>Contratar la prestación de servicios, para la realización de exámenes Médicos Ocupacionales de ingreso, egreso y periódicos así como Audiometrías y Optometrías, con destino a los empleados y funcionarios a cargo de la Dirección Ejecutiva Seccional de Administración Judicial Bogotá - Cundinamarca.</t>
  </si>
  <si>
    <t>Suministrar mobiliario auxiliar con destino a los despachos judiciales a cargo de la Dirección Ejecutiva Seccional de Administración Judicial Bogotá - Cundinamarca.</t>
  </si>
  <si>
    <t>Adquirir ventiladores con destino a los despachos judiciales y sedes administrativas a cargo de la Dirección Ejecutiva Seccional de Administración Judicial Bogotá - Cundinamarca.</t>
  </si>
  <si>
    <t xml:space="preserve">Adquirir teléfonos y fax con destino a los despachos judiciales y sedes administrativas a cargo de la Dirección Ejecutiva Seccional de Administración  Judicial Bogotá – Cundinamarca.  </t>
  </si>
  <si>
    <t>Adquirir etiquetas térmicas para los sistemas de control de acceso instalados en las diferentes sedes judiciales a cargo de la Dirección Ejecutiva Seccional de Administración Judicial Bogotá - Cundinamarca.</t>
  </si>
  <si>
    <t>Claudia Yaneth Villa Martínez
Coordinadora grupo de servicios administrativos
cvillam@cendoj.ramajudicial.gov.co</t>
  </si>
  <si>
    <t>12164900  72101500  73151700  72153200</t>
  </si>
  <si>
    <t>Contratar en nombre de la Nación - Consejo Superior de la Judicatura la impermeabilización de placas de cubierta, jardineras y sello de juntas en muros y pisos, de algunas Sedes Judiciales a cargo de la Dirección Ejecutiva Seccional de Administración Judicial Bogotá – Cundinamarca.</t>
  </si>
  <si>
    <t>Contratar en nombre de la Nación, Consejo Superior de la Judicatura, la adquisición de bicicleteros (cicloparqueaderos) con destino a los despachos judiciales y sedes administrativas a cargo de esta Dirección Ejecutiva Seccional de Administración Judicial Bogotá - Cundinamarca.</t>
  </si>
  <si>
    <t>Contratar en nombre de la Nación - Consejo Superior de la Judicatura la adquisición e instalación de módulos para puntos ecológicos con destino a las sedes judiciales y administrativas a cargo de la Dirección Ejecutiva Seccional de Administración Judicial Bogota ¿ Cundinamarca.</t>
  </si>
  <si>
    <t>24101510  24121807  30162303  47121701  47121702 73101505</t>
  </si>
  <si>
    <t>Contratar en nombre de la Nación - Consejo Superior de la Judicatura la adquisición de bicicletas con destino a las sedes judiciales y administrativas a cargo de la Dirección Ejecutiva Seccional de Administración Judicial Bogota ¿ Cundinamarca</t>
  </si>
  <si>
    <t>25161501  25161505  25161506  25161507  73161606</t>
  </si>
  <si>
    <t>92121702  92121704  72151704</t>
  </si>
  <si>
    <t>Contratar en nombre de la Nación Consejo Superior de la Judicatura el servicio de soporte y mantenimiento para los sistemas de turnos ubicados en las sedes judiciales a cargo de la Dirección Ejecutiva Seccional de Administración Judicial Bogotá – Cundinamarca.</t>
  </si>
  <si>
    <t>Contratar en nombre de la Nación Consejo Superior de la Judicatura la adquisición e instalación de cámaras, video grabadoras y repuestos para  los sistemas de seguridad instalados en las Sedes Judiciales a cargo de la Dirección Ejecutiva Seccional de Administración Judicial Bogotá - Cundinamarca.</t>
  </si>
  <si>
    <t>Contratar en nombre de la Nación Consejo Superior de la Judicatura la adquisición de sillas con destino a los despachos judiciales y sedes administrativas  a cargo de esta Dirección Ejecutiva Seccional de Administración Judicial Bogotá – Cundinamarca.</t>
  </si>
  <si>
    <t>56112103  56112104</t>
  </si>
  <si>
    <t>Contratar en nombre de la Nación Consejo Superior de la Judicatura la adquisición e instalación de estantería metálica, con destino a los despachos judiciales y bodegas de archivo a cargo de la Dirección Ejecutiva Seccional de Administración Judicial Bogotá - Cundinamarca.</t>
  </si>
  <si>
    <t>56101701  56101704</t>
  </si>
  <si>
    <t>Contratar en nombre de la Nación - Consejo Superior de la Judicatura el suministro e instalación de paneles para oficina abierta, con destino a los despachos judiciales y sedes administrativas a cargo de La Dirección Ejecutiva Seccional de Administración Judicial Bogotá - Cundinamarca</t>
  </si>
  <si>
    <t>56111501  56111503  56111505  56111507  56111509  56111603</t>
  </si>
  <si>
    <t>Contratar en nombre de la Nación ¿ Consejo Superior de la Judicatura la adquisición de elementos tecnológicos, con destino a los despachos judiciales a cargo de la Dirección Ejecutiva Seccional de Administración Judicial Bogotá ¿ Cundinamarca</t>
  </si>
  <si>
    <t>2 Mes</t>
  </si>
  <si>
    <t>Contratar en nombre de la Nación Consejo Superior de la Judicatura la adquisición de elementos tecnológicos con destino a las salas de audiencia a cargo de la Dirección Ejecutiva Seccional de Administración Judicial Bogotá - Cundinamarca.</t>
  </si>
  <si>
    <t>52161520  52161512  45121520</t>
  </si>
  <si>
    <t>Contratar en nombre del a Nación – Consejo Superior de la Judicatura la adquisición de cámaras de video con destino a los despachos judiciales y sedes administrativas a cargo de esta Dirección Ejecutiva Seccional de Administración Judicial Bogotá – Cundinamarca</t>
  </si>
  <si>
    <t>45121501  45121504  45121506  45121515  45121516</t>
  </si>
  <si>
    <t>Contratar en nombre de la Nación Consejo Superior de la Judicatura la adquisición, instalación y puesta en funcionamiento de equipos biométricos y control de acceso con destino a las sedes judiciales y administrativas a cargo de la Dirección Ejecutiva Seccional de Administración Judicial Bogotá – Cundinamarca.</t>
  </si>
  <si>
    <t>Contratar en nombre de la Nación Consejo Superior de la Judicatura la adquisición de relojes de correspondencia con destino a los despachos judiciales y sedes administrativas a cargo de la Dirección Ejecutiva Seccional de Administración Judicial Bogotá - Cundinamarca.</t>
  </si>
  <si>
    <t>Contratar en nombre de la Nación Consejo Superior de la Judicatura el suministro de astas y banderas con destino a los despachos judiciales y sedes administrativas  a cargo de esta Dirección Ejecutiva Seccional de Administración Judicial Bogotá – Cundinamarca.</t>
  </si>
  <si>
    <t>55121715  55121905</t>
  </si>
  <si>
    <t>Contratar en nombre de la Nación Consejo Superior de la Judicatura el mantenimiento preventivo y correctivo  de las lámparas de emergencia que se encuentran instaladas en los diferentes despachos judiciales y sedes administrativas a cargo de la Dirección Ejecutiva Seccional de Administración Judicial Bogotá – Cundinamarca.</t>
  </si>
  <si>
    <t>Sin aprobación</t>
  </si>
  <si>
    <t>43221731  45111823  32101617  43201401  43201404  43201531  43211617</t>
  </si>
  <si>
    <t>Contratar en nombre de la Nación Consejo Superior de la Judicatura la adquisición de zorras planas y estibadores hidráulicos con destino a los despachos judiciales y sedes administrativas  a cargo de esta Dirección Ejecutiva Seccional de Administración Judicial Bogotá ¿ Cundinamarca.</t>
  </si>
  <si>
    <t>Contratar en nombre de la Nación Consejo Superior de la Judicatura la adquisición de archivadores (monoblock) con destino a los despachos judiciales a cargo de la Dirección Ejecutiva Seccional de Administración Judicial Bogotá - Cundinamarca.</t>
  </si>
  <si>
    <t>Contratar en nombre de la nación consejo superior de la judicatura la adquisición e instalación de puestos de trabajo ergonómicos con destino a los despachos judiciales y sedes administrativas de esta dirección ejecutiva seccional.</t>
  </si>
  <si>
    <t>Contratar en nombre de la Nación ¿ Consejo Superior de la Judicatura, el mantenimiento preventivo y correctivo de puertas de vidrio de seguridad instaladas en algunas sedes judiciales y administrativas a cargo de la Dirección Ejecutiva Seccional de Administración Judicial de Bogotá - Cundinamarca.</t>
  </si>
  <si>
    <t>30171501  30171504  30171508</t>
  </si>
  <si>
    <t xml:space="preserve"> </t>
  </si>
  <si>
    <t>1 año</t>
  </si>
  <si>
    <t>D. Contratación pendiente por determinar si va hacer parte del plan anual de adquisiciones</t>
  </si>
  <si>
    <t>Minima Cuantia</t>
  </si>
  <si>
    <t>Carlos Enrique Másmela González
Director Ejecutivo Seccional de Administración Judicial Bogotá Cundinamarca</t>
  </si>
  <si>
    <t>Concepto</t>
  </si>
  <si>
    <t>IMPUESTO PREDIAL</t>
  </si>
  <si>
    <t>COMBUSTIBLE Y LUBRICANTES</t>
  </si>
  <si>
    <t>DOTACION</t>
  </si>
  <si>
    <t>PAPELERIA, UTILES DE ESCRITORIO Y OFICINA</t>
  </si>
  <si>
    <t>OTROS MATERIALES Y SUMINISTROS</t>
  </si>
  <si>
    <t>MANTENIMIENTO DE BIENES INMUEBLES</t>
  </si>
  <si>
    <t>MANTENIMIENTO DE BIENES MUEBLES, EQUIPOS Y ENSERES</t>
  </si>
  <si>
    <t>MANTENIMIENTO EQUIPO DE NAVEGACION Y TRANSPORTE</t>
  </si>
  <si>
    <t>SERVICIO DE ASEO</t>
  </si>
  <si>
    <t>SERVICIO DE SEGURIDAD Y VIGILANCIA</t>
  </si>
  <si>
    <t>EMBALAJE Y ACARREO</t>
  </si>
  <si>
    <t>OTROS COMUNICACIONES Y TRANSPORTE</t>
  </si>
  <si>
    <t>OTROS GASTOS POR IMPRESOS Y PUBLICACIONES</t>
  </si>
  <si>
    <t>ACUEDUCTO ALCANTARILLADO Y ASEO</t>
  </si>
  <si>
    <t>ENERGIA</t>
  </si>
  <si>
    <t>TELEFONO,FAX Y OTROS</t>
  </si>
  <si>
    <t>ARRENDAMIENTOS BIENES MUEBLES</t>
  </si>
  <si>
    <t>ARRENDAMIENTOS BIENES INMUEBLES</t>
  </si>
  <si>
    <t>VIATICOS Y GASTOS DE VIAJE AL INTERIOR</t>
  </si>
  <si>
    <t>TOTAL</t>
  </si>
  <si>
    <t>INVERSIÓN</t>
  </si>
  <si>
    <t>MEJORAMIENTO Y MANTENIMIENTO DE INFRAESTRUCTURA PROPIA DEL SECTOR.</t>
  </si>
  <si>
    <t>COMBUSTIBLE</t>
  </si>
  <si>
    <t>Viaticos</t>
  </si>
  <si>
    <t>Total</t>
  </si>
  <si>
    <t>Otros comunicaciones y transporte</t>
  </si>
  <si>
    <t>%</t>
  </si>
  <si>
    <t>%
2016</t>
  </si>
  <si>
    <t>%
2015</t>
  </si>
  <si>
    <t>servicio de suministro de combustible (gasolina) mediante el sistema de chip</t>
  </si>
  <si>
    <t>OTRAS COMPRAS DE EQUIPOS</t>
  </si>
  <si>
    <t xml:space="preserve">adquisición e instalación de aires acondicionados </t>
  </si>
  <si>
    <t>adquisición y puesta en funcionamiento de tres (03) Player Nano FC1213 para el sistema de digiturnos,  biometricos</t>
  </si>
  <si>
    <r>
      <t xml:space="preserve">adquisición e instalación de puntos ecológicos y </t>
    </r>
    <r>
      <rPr>
        <b/>
        <sz val="10"/>
        <rFont val="Arial"/>
        <family val="2"/>
      </rPr>
      <t xml:space="preserve">bicicleteros y/o cicloparqueaderos incluido equipo de despinche </t>
    </r>
  </si>
  <si>
    <t>adquisición de televisores y videocámaras</t>
  </si>
  <si>
    <t>adquisición de equipos tecnológicos</t>
  </si>
  <si>
    <t xml:space="preserve">adquisición de elementos para salas de ponentes </t>
  </si>
  <si>
    <t>MOBILIARIO Y ENSERES</t>
  </si>
  <si>
    <t xml:space="preserve">adquisición de relojes de correspondencia </t>
  </si>
  <si>
    <t xml:space="preserve"> adquisición e instalación de impresora de tarjetas de PVC,</t>
  </si>
  <si>
    <t>adquisición de ventiladores</t>
  </si>
  <si>
    <t>adquisición de atriles y malletes banderas y astas</t>
  </si>
  <si>
    <t xml:space="preserve"> adquisición de sillas</t>
  </si>
  <si>
    <t>adquisición de mobiliario auxiliar</t>
  </si>
  <si>
    <t>adquisición de muebles bajos  y zorras</t>
  </si>
  <si>
    <t>adquisición e instalación de paneles modulares</t>
  </si>
  <si>
    <t xml:space="preserve"> adquisición e instalación de estantería metálica, puestos de trabajo y cajoneras</t>
  </si>
  <si>
    <t>OTROS SERVICIOS PARA CAPACITACION, BIENESTAR SOCIAL Y ESTIMULOS</t>
  </si>
  <si>
    <t>prestación de servicios profesionales, en  la realización de exámenes médicos ocupacionales de ingreso</t>
  </si>
  <si>
    <t xml:space="preserve">prestación de servicios profesionales, para la evaluación de las condiciones de salud </t>
  </si>
  <si>
    <r>
      <t xml:space="preserve">suministro de </t>
    </r>
    <r>
      <rPr>
        <b/>
        <sz val="10"/>
        <rFont val="Arial"/>
        <family val="2"/>
      </rPr>
      <t>vestidos, zapatos formales para dama</t>
    </r>
    <r>
      <rPr>
        <sz val="10"/>
        <rFont val="Arial"/>
        <family val="2"/>
      </rPr>
      <t>, caballero y vestido de labor</t>
    </r>
  </si>
  <si>
    <t xml:space="preserve">elementos de protección personal </t>
  </si>
  <si>
    <t>Togas</t>
  </si>
  <si>
    <t>Adquisición de papel sin logo Bogotá</t>
  </si>
  <si>
    <t>Adquisición de Útiles de oficina Bogotá</t>
  </si>
  <si>
    <t>Adquisición de carátulas para expediente</t>
  </si>
  <si>
    <t>Adquisición de tóner</t>
  </si>
  <si>
    <t>suministro e instalación de elementos de señalización</t>
  </si>
  <si>
    <t>Suministrar, retirar e instalar vidrios</t>
  </si>
  <si>
    <t xml:space="preserve"> adquisición de bolsas plásticas</t>
  </si>
  <si>
    <t>adquisición e instalación de persianas</t>
  </si>
  <si>
    <t>adquisición de elementos eléctricos y de iluminación ferreteria</t>
  </si>
  <si>
    <t xml:space="preserve">adecuación, anclaje, montaje y diseño de jardines verticales </t>
  </si>
  <si>
    <t xml:space="preserve">Ascensor y dos plataformas salva escalera </t>
  </si>
  <si>
    <t>Pintura</t>
  </si>
  <si>
    <t>sistemas de control de acceso y puertas de vidrio</t>
  </si>
  <si>
    <t>sistema de seguridad instalado en el Complejo Judicial de Paloquemao</t>
  </si>
  <si>
    <t>Extintores y alarmas de incendios</t>
  </si>
  <si>
    <t>cortinas enrollables, talanqueras y puertas eléctricas</t>
  </si>
  <si>
    <t>Motobombas</t>
  </si>
  <si>
    <t>equipos y elementos de oficina y digiturno</t>
  </si>
  <si>
    <t>elementos que conforman los equipos de seguridad</t>
  </si>
  <si>
    <t>Plantas eléctricas</t>
  </si>
  <si>
    <t>aire acondicionado y ventilación mecánica</t>
  </si>
  <si>
    <t>plantas telefónicas Alcatel OmniPCX</t>
  </si>
  <si>
    <t>adquisición e instalación de impresora de tarjetas de PVC</t>
  </si>
  <si>
    <t xml:space="preserve">mantenimiento preventivo y correctivo (incluidos repuestos originales), para los vehículos utilitarios y de esquema de seguridad (excluyendo motocicletas) </t>
  </si>
  <si>
    <t xml:space="preserve">mantenimiento preventivo y correctivo (incluido repuestos originales) para las motos utilitarias y de esquema de seguridad de la ciudad de Bogotá </t>
  </si>
  <si>
    <t xml:space="preserve">Custodia de medios magneticos </t>
  </si>
  <si>
    <t>Vigilancia</t>
  </si>
  <si>
    <t>Policia</t>
  </si>
  <si>
    <t>servicio de mudanzas, transporte, montaje, desmontaje, empaque de muebles, enseres, archivos y documentos</t>
  </si>
  <si>
    <t>servicio de envío de elementos (útiles de escritorio, papelería, insumos de impresión, equipos de cómputo y demás necesidades)</t>
  </si>
  <si>
    <t>MATERIALES DE CONSTRUCCION</t>
  </si>
  <si>
    <t>adquisición de elementos y materiales de construcción</t>
  </si>
  <si>
    <t>REPUESTOS</t>
  </si>
  <si>
    <t>adquisición de repuestos para componentes y accesorios tecnológicos</t>
  </si>
  <si>
    <t>Edictos en radio</t>
  </si>
  <si>
    <t>Sellos</t>
  </si>
  <si>
    <t>Avisos en prensa</t>
  </si>
  <si>
    <t>ARRENDAMIENTOS BIENES MUEBLES E INMUEBLES</t>
  </si>
  <si>
    <t xml:space="preserve"> arrendamiento de equipos de fotocopiado</t>
  </si>
  <si>
    <t>POE</t>
  </si>
  <si>
    <t xml:space="preserve"> obra civil para la adecuación de las zonas comunes del Palacio de Justicia de Girardot</t>
  </si>
  <si>
    <t>obra civil para la adecuación y mantenimiento general al Palacio de Justicia de Puerto Nariño - Amazonas</t>
  </si>
  <si>
    <t xml:space="preserve">interventoría integral del contrato que resulte de la Selección Abreviada de Menor Cuantía No. 06 de 2015 que tiene por objeto la obra civil para la adecuación de las zonas comunes del Palacio de Justicia de Girardot </t>
  </si>
  <si>
    <t>obra civil para el cambio de la cubiert</t>
  </si>
  <si>
    <t xml:space="preserve">interventoría integral del contrato que resulte de la Selección Abreviada de Menor Cuantía No. 09 de 2015 que tiene por objeto la obra civil para el cambio de la cubierta de una sede judicial </t>
  </si>
  <si>
    <t>adquisición, instalación y puesta en funcionamiento de ascensores</t>
  </si>
  <si>
    <t>PLAN ANUAL DE ADQUISICIONES  GASTOS GENERALES
CONTRATACIÓN 2015- 2016</t>
  </si>
  <si>
    <t>72101509  46191603  46191618</t>
  </si>
  <si>
    <t>Diferencia embalaje y acarreo</t>
  </si>
  <si>
    <t>Mobiliario y Enseres</t>
  </si>
  <si>
    <t>Otras compras de equipo</t>
  </si>
  <si>
    <t>Ascensor gachetá</t>
  </si>
  <si>
    <t>Capacitación y Bienestar social</t>
  </si>
  <si>
    <t>Impuestos</t>
  </si>
  <si>
    <t>Servicios publicos</t>
  </si>
  <si>
    <t>Septiembre 
2018</t>
  </si>
  <si>
    <t>Enero 
2018</t>
  </si>
  <si>
    <t>Agosto 
2018</t>
  </si>
  <si>
    <t>Julio 
2018</t>
  </si>
  <si>
    <t>Febrero  
2018</t>
  </si>
  <si>
    <t>Octubre 
2018</t>
  </si>
  <si>
    <t>Abril 
2018</t>
  </si>
  <si>
    <t>Marzo 
2018</t>
  </si>
  <si>
    <t>Mayo 
2018</t>
  </si>
  <si>
    <t>Valor total estimado</t>
  </si>
  <si>
    <t>Adquisiciones 2018</t>
  </si>
  <si>
    <t>Agosto de 2018</t>
  </si>
  <si>
    <t>Febrero de 2018</t>
  </si>
  <si>
    <t>15 dias</t>
  </si>
  <si>
    <t>Licitacion Publica</t>
  </si>
  <si>
    <t>5 meses</t>
  </si>
  <si>
    <t>4 meses</t>
  </si>
  <si>
    <t>6 meses</t>
  </si>
  <si>
    <t>8 meses</t>
  </si>
  <si>
    <t>7 meses</t>
  </si>
  <si>
    <t>Febreo de 2018</t>
  </si>
  <si>
    <t>Mayo de 2018</t>
  </si>
  <si>
    <t>si</t>
  </si>
  <si>
    <t>Junio de 2018</t>
  </si>
  <si>
    <t>1 mes</t>
  </si>
  <si>
    <t>Selección abreviada subasta</t>
  </si>
  <si>
    <t>60 Dias</t>
  </si>
  <si>
    <t>Menor Cuantia</t>
  </si>
  <si>
    <t>2 meses</t>
  </si>
  <si>
    <t>El Consejo Superior de la Judicatura y la Policía Nacional, a través de La dirección de protección y servicios especiales colaborarán mutuamente bajo las instrucciones que esta última imparta en desarrollo de sus atribuciones constitucionales y legales, para que esta efectúe la implementación y fortalecimiento de las condiciones de seguridad y protección requeridas por el consejo superior de la judicatura, en los sitios y con el personal indicado.</t>
  </si>
  <si>
    <t>AUDIOVISUALES Y ACCESORIOS</t>
  </si>
  <si>
    <t xml:space="preserve">OTRAS COMPRAS DE EQUIPOS </t>
  </si>
  <si>
    <t xml:space="preserve">EQUIPOS DE COMUNICACIONES </t>
  </si>
  <si>
    <t>EQUIPO DE SISTEMAS</t>
  </si>
  <si>
    <t>30 dias</t>
  </si>
  <si>
    <t>1 meses</t>
  </si>
  <si>
    <t>45 dias</t>
  </si>
  <si>
    <t>Marzo de 2018</t>
  </si>
  <si>
    <t>EQUIPOS Y MAQUINAS PARA OFICINA</t>
  </si>
  <si>
    <t>CAPACITACIONES Y BIENESTAR SOCIAL</t>
  </si>
  <si>
    <t xml:space="preserve">Contratar la adquisición de papel sin logo con destino a los despachos judiciales y sedes administrativas de Bogotá </t>
  </si>
  <si>
    <t xml:space="preserve">Contratar el servicio de mantenimiento preventivo y correctivo para los sistemas de seguridad instalados en las sedes judiciales   </t>
  </si>
  <si>
    <t xml:space="preserve">Contratar el suministro de sellos con destino a los despachos judiciales y sedes administrativas  </t>
  </si>
  <si>
    <t>Contratar el suministro e instalación de persianas con destino a los despachos judiciales y sedes administrativas .</t>
  </si>
  <si>
    <t xml:space="preserve">Contratar el servicio de suministro de combustible (gasolina) mediante el sistema de chip, para los vehículos que conforman el parque automotor que cumplen con el Acuerdo 1507 de 2002 y el Acuerdo PSAA16-10481 de 2016, al igual que el suministro de combustible (ACPM) para las plantas eléctricas de las sedes judiciales </t>
  </si>
  <si>
    <t xml:space="preserve">Contratar la adquisición de insumos de impresión con destino a los despachos judiciales y sedes administrativas de Bogotá D.C. </t>
  </si>
  <si>
    <t>Contratar la adquisición de  útiles de oficina (diferentes referencias), con destino a los despachos judiciales y sedes administrativas</t>
  </si>
  <si>
    <t xml:space="preserve">Contratar el servicio de retiro, suministro e instalación de vidrios, con destino a los despachos judiciales y sedes administrativas </t>
  </si>
  <si>
    <t>Contratar el suministro e instalación de elementos de señalizacion, con destino a los Despachos Judiciales y Sedes Administrativas</t>
  </si>
  <si>
    <t xml:space="preserve">Contratar la adquisición e instalacion de peliculas de proteccion solar con destino a los despachos judiciales y sedes administrativas </t>
  </si>
  <si>
    <t>Contratar la adquisicion de elementos y materiales de construcción con destino a los despachos judiciales y sedes administrativas de la ciudad de Bogotá</t>
  </si>
  <si>
    <t xml:space="preserve">Contratar  la adquisición de materiales de ferretería y herramientas con destino a los despachos judiciales y sedes administrativas </t>
  </si>
  <si>
    <t xml:space="preserve">Contratar el servicio de mantenimiento preventivo y correctivo de los ascensores marca Sigma ubicados en las sedes judiciales y administrativas </t>
  </si>
  <si>
    <t xml:space="preserve">Contratar  el servicio de mantenimiento preventivo y correctivo de los ascensores marca Nova Elevators ubicados en las sedes judiciales y administrativas </t>
  </si>
  <si>
    <t>Contratar la adquisicion de elementos tecnológicos con destino a las sedes administrativas</t>
  </si>
  <si>
    <t xml:space="preserve">Contratar el mantenimiento preventivo y correctivo para un ascensor y dos plataformas salva escaleras instalados en una sede judicial </t>
  </si>
  <si>
    <t xml:space="preserve">Contratar el mantenimiento preventivo y correctivo del ascensor de marca Eurolift ubicado en una sede jucial </t>
  </si>
  <si>
    <t>Contratar el mantenimiento preventivo y correctivo del ascensor de carga marca Integral ubicado en una sede judicial</t>
  </si>
  <si>
    <t xml:space="preserve">Contratar  el servicio de mantenimiento preventivo y correctivo de los ascensores marca Estilo ubicados en las sedes judiciales y administrativas </t>
  </si>
  <si>
    <t xml:space="preserve">Contratar el servicio de soporte y mantenimiento para los sistemas de turnos ubicados en las sedes judiciales y administrativas </t>
  </si>
  <si>
    <t xml:space="preserve">Contratar el servicio de mantenimiento preventivo y correctivo de las plantas eléctricas con el fin de garantizar el correcto funcionamiento de los despachos judiciales y sedes administrativas </t>
  </si>
  <si>
    <t>Contratar los mantenimientos preventivos y correctivos de las plantas telefónicas Alcatel OmniPCX Enterprice instaladas en las sedes judiciales Hernando Morales Molina y Tribunales de Bogotá y Cundinamarca</t>
  </si>
  <si>
    <t>Contratar el servicio de mantenimiento preventivo y correctivo de equipos y elementos de oficina incluido repuestos al servicio de los empleados y funcionarios con el fin de garantizar el correcto funcionamiento de los despachos judiciales y sedes administrativas</t>
  </si>
  <si>
    <t>Contratar  el servicio de mantenimiento preventivo y correctivo de las cortinas enrollables, talanqueras y puertas eléctricas de las diferentes sedes administrativas</t>
  </si>
  <si>
    <t>Contratar el mantenimiento preventivo y correctivo (incluido repuestos originales) para las motos utilitarias y de esquema de seguridad de la ciudad de Bogotá</t>
  </si>
  <si>
    <t>Contratar el servicio de vigilancia y seguridad privada, con destino a los despachos judiciales y sedes administrativas en Bogotá D.C., en el departamento de Cundinamarca y Leticia (Amazonas)</t>
  </si>
  <si>
    <t>Contratar el almacenamiento, custodia y transporte de los medios magnéticos generados en los despachos judiciales y sedes administrativas</t>
  </si>
  <si>
    <t>Contratar el servicio de mudanzas, transporte, montaje, desmontaje, empaque de muebles, enseres, archivos y documentos de los despachos judiciales y sedes administrativas</t>
  </si>
  <si>
    <t>Contratar el envío de elementos (útiles de escritorio, papelería, insumos de impresión, equipos de cómputo, y demás necesidades), para atender los requerimientos por parte de los despachos judiciales de Cundinamarca y Leticia</t>
  </si>
  <si>
    <t>Contratar la prestación del servicio de publicación de avisos y/o edictos emplazatorios en un diario de circulación nacional, los cuales son solicitados por la Dirección Ejecutiva Seccional, los Consejos Seccionales de la Judicatura de Bogotá y Cundinamarca y los diferentes Despachos Judiciales</t>
  </si>
  <si>
    <t>Contratar el arrendamiento de equipos de fotocopiado incluido el papel, tóner, instalación, puesta en funcionamiento, mantenimiento preventivo y correctivo, capacitación sobre el manejo, así como el suministro de accesorios e insumos necesarios para la prestación del servicio en las diferentes  sedes administrativas y despachos judiciales</t>
  </si>
  <si>
    <t>Contratar el arrendamiento de Inmuebles donde funcionan algunos despachos judiciales y sedes administrativas  de Bogotá y Cundinamarca</t>
  </si>
  <si>
    <t>Contratar la adquisicion de fax para los despachos judiciales y sedes administrativas</t>
  </si>
  <si>
    <t>Contratar el servicio de mantenimiento preventivo y correctivo de los ascensores marca Otis ubicados en las sedes judiciales y administrativas</t>
  </si>
  <si>
    <t>Contratar los mantenimientos preventivos y correctivos del sistema de aire acondicionado y ventilación mecánica ubicados en las diferentes sedes judiciales y administrativas</t>
  </si>
  <si>
    <t>Contratar la adquisición de elementos de iluminación con destino a los despachos judiciales y sedes administrativas</t>
  </si>
  <si>
    <t>Contratar la adquisición de togas para los funcionarios que se encuentran en el sistema de oralidad</t>
  </si>
  <si>
    <t>Contratar la adquisición de elementos de protección personal para los servidores judiciales</t>
  </si>
  <si>
    <t xml:space="preserve">Contratar la adquisicion de zorras metalicas y carros plegables con destino a los despachos judiciales Bogota </t>
  </si>
  <si>
    <t>Contratar la adquisición de ventiladores con destino a los despachos judiciales y sedes administrativas</t>
  </si>
  <si>
    <t>Contratar el suministro de puestos de trabajo con destino a los despachos judiciales Bogota</t>
  </si>
  <si>
    <t>Contratar la adquisición e instalación de estantería metálica, con destino a los despachos judiciales</t>
  </si>
  <si>
    <t>Contratar la adquisición de sillas con destino a los despachos judiciales y sedes administrativas</t>
  </si>
  <si>
    <t xml:space="preserve">Contratar la adquisicion de modulares para oficina abierta con destino a los despachos judiciales Bogota </t>
  </si>
  <si>
    <t>Contratar la adquisición de monoblocks y cajoneras para los despachos judiciales y sedes administrativas</t>
  </si>
  <si>
    <t>Contratar la adquisición de tandem para salas de audiencias y sedes administrativas</t>
  </si>
  <si>
    <t>Contratar el suministro de vestidos, zapatos formales para dama, caballero, vestido de labor y chalecos para los empleados</t>
  </si>
  <si>
    <t>Contratar el mantenimiento de muebles de madera para los despachos judiciales, sedes administrativas y salas de audiencia</t>
  </si>
  <si>
    <t>Contratar el arrendamiento de equipos de computo para las diferentes  sedes administrativas y despachos judiciales</t>
  </si>
  <si>
    <t>Contratar la adquisicion de cableado de sonido para las salas de audiencias</t>
  </si>
  <si>
    <t xml:space="preserve">Contratar la adquisicion de radios de comunicaciones para las sedes administrativas </t>
  </si>
  <si>
    <t xml:space="preserve">Contratar la adquisicion de examenes medicos para los empleados y funcionarios de los despachos judiciales </t>
  </si>
  <si>
    <t xml:space="preserve">Contratar la adquisicion de camaras de video para los despachos judiciales y sedes administrativas </t>
  </si>
  <si>
    <t>Contratar la adquisicion de percheros metalicos con  destino a los despachos judiciales Bogota</t>
  </si>
  <si>
    <t xml:space="preserve">Contratar el servicio de mantenimiento preventivo y correctivo de los ascensores marca Schindler y andino, ubicados en las sedes judiciales y administrativas </t>
  </si>
  <si>
    <t xml:space="preserve">Contratar el servicio de mantenimiento preventivo y correctivo de motobombas y tanques de almacenamiento de agua potable, negras y lluvias, con el fin de garantizar el correcto funcionamiento de los despachos judiciales y sedes administrativas </t>
  </si>
  <si>
    <t>Contratar el servicio de recarga, mantenimiento de extintores y pruebas pitométricas a los gabinetes contraincendios, incluyendo repuestos y piezas menores en las diferentes  despachos judiciales y sedes administrativas</t>
  </si>
  <si>
    <t>Contratar la prestación del servicio de mantenimiento preventivo y correctivo (incluidos repuestos originales), para los vehículos utilitarios y de esquema de seguridad (excluyendo motocicletas) que conforman el parque automotor</t>
  </si>
  <si>
    <t>Contratar la prestación del servicio de aseo con insumos y maquinaria incluida, mantenimiento de jardines y lavado de banderas con destino a los despachos judiciales y sedes administrativas de Bogotá D.C., en el Departamento de Cundinamarca, Leticia y Puerto Nariño en el Departamento del Amazonas</t>
  </si>
  <si>
    <t>Contratar el servicio de emisión y/o divulgación de los edictos emplazatorios en radio, que requieran los despachos judiciales y sedes administrativas</t>
  </si>
  <si>
    <t>Contratar la adquisicion de servidores de bases de datos y de dominio con las respectivas licencias y computadores para escritorio para los despachos judiciales y sedes administrativas</t>
  </si>
  <si>
    <t>24101506 24101507</t>
  </si>
  <si>
    <t>53111601  53111602  53101902  53101904  46181604</t>
  </si>
  <si>
    <t>46181604  46181705  46181543  46181545  46181504  46181527</t>
  </si>
  <si>
    <t>30171705  30171706  30171707   72153002</t>
  </si>
  <si>
    <t>46182006  72152104</t>
  </si>
  <si>
    <t>30101500  46171501  31201500    27111909   30111601  47131702  46171505  31161500  40171500</t>
  </si>
  <si>
    <t>27111708  43202201  41113630  27112108  27112137  27111901  26121648  39121635  27112105  23231202  31201502  27111720  40141608 30151703  39121701  39121440  20102104  23101502</t>
  </si>
  <si>
    <t>43222643  43223307  27112114</t>
  </si>
  <si>
    <t>72101506  72101507</t>
  </si>
  <si>
    <t>72154055  72102900</t>
  </si>
  <si>
    <t>26121539  39131601  39131709  72151605</t>
  </si>
  <si>
    <t>45121515 45121516</t>
  </si>
  <si>
    <t>72101506  43211502</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</si>
</sst>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 numFmtId="184" formatCode="0.0"/>
    <numFmt numFmtId="185" formatCode="_(* #,##0.0_);_(* \(#,##0.0\);_(* &quot;-&quot;??_);_(@_)"/>
    <numFmt numFmtId="186" formatCode="_(* #,##0_);_(* \(#,##0\);_(* &quot;-&quot;??_);_(@_)"/>
    <numFmt numFmtId="187" formatCode="[$-240A]dddd\,\ dd&quot; de &quot;mmmm&quot; de &quot;yyyy"/>
    <numFmt numFmtId="188" formatCode="[$-240A]hh:mm:ss\ AM/PM"/>
    <numFmt numFmtId="189" formatCode="m/d/yyyy"/>
    <numFmt numFmtId="190" formatCode="_ &quot;$&quot;\ * #,##0_ ;_ &quot;$&quot;\ * \-#,##0_ ;_ &quot;$&quot;\ * &quot;-&quot;??_ ;_ @_ "/>
    <numFmt numFmtId="191" formatCode="&quot;$&quot;\ #,##0.0_);\(&quot;$&quot;\ #,##0.0\)"/>
    <numFmt numFmtId="192" formatCode="&quot;$&quot;#,##0.00"/>
    <numFmt numFmtId="193" formatCode="0.000%"/>
    <numFmt numFmtId="194" formatCode="0.0000%"/>
  </numFmts>
  <fonts count="40">
    <font>
      <sz val="11"/>
      <color theme="1"/>
      <name val="Calibri"/>
      <family val="2"/>
    </font>
    <font>
      <sz val="11"/>
      <color indexed="8"/>
      <name val="Calibri"/>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thin"/>
      <bottom style="mediu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style="thin">
        <color theme="0" tint="-0.3499799966812134"/>
      </bottom>
    </border>
    <border>
      <left>
        <color indexed="63"/>
      </left>
      <right style="thin"/>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5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12" xfId="0" applyFill="1" applyBorder="1" applyAlignment="1">
      <alignment wrapText="1"/>
    </xf>
    <xf numFmtId="0" fontId="0" fillId="0" borderId="13" xfId="0" applyFill="1" applyBorder="1" applyAlignment="1">
      <alignment wrapText="1"/>
    </xf>
    <xf numFmtId="0" fontId="0" fillId="0" borderId="13" xfId="0" applyFont="1" applyFill="1" applyBorder="1" applyAlignment="1">
      <alignment wrapText="1"/>
    </xf>
    <xf numFmtId="0" fontId="0" fillId="0" borderId="12" xfId="53" applyFont="1" applyFill="1" applyBorder="1" applyAlignment="1">
      <alignment horizontal="left" vertical="center" wrapText="1"/>
      <protection/>
    </xf>
    <xf numFmtId="0" fontId="0" fillId="0" borderId="12" xfId="0" applyFont="1" applyFill="1" applyBorder="1" applyAlignment="1">
      <alignment wrapText="1"/>
    </xf>
    <xf numFmtId="0" fontId="0" fillId="0" borderId="10" xfId="0" applyFill="1" applyBorder="1" applyAlignment="1">
      <alignment wrapText="1"/>
    </xf>
    <xf numFmtId="0" fontId="34" fillId="0" borderId="12" xfId="0" applyFont="1" applyFill="1" applyBorder="1" applyAlignment="1">
      <alignment wrapText="1"/>
    </xf>
    <xf numFmtId="2" fontId="0" fillId="0" borderId="12" xfId="0" applyNumberFormat="1" applyFont="1" applyFill="1" applyBorder="1" applyAlignment="1">
      <alignment wrapText="1"/>
    </xf>
    <xf numFmtId="2" fontId="0" fillId="0" borderId="12" xfId="0" applyNumberFormat="1" applyFill="1" applyBorder="1" applyAlignment="1">
      <alignment wrapText="1"/>
    </xf>
    <xf numFmtId="0" fontId="0" fillId="0" borderId="12" xfId="54" applyFont="1" applyFill="1" applyBorder="1" applyAlignment="1">
      <alignment horizontal="left" vertical="justify" wrapText="1"/>
      <protection/>
    </xf>
    <xf numFmtId="0" fontId="0" fillId="0" borderId="13" xfId="0" applyBorder="1" applyAlignment="1">
      <alignment vertical="center" wrapText="1"/>
    </xf>
    <xf numFmtId="0" fontId="38" fillId="0" borderId="0" xfId="0" applyFont="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22" fillId="23" borderId="14" xfId="39" applyBorder="1" applyAlignment="1">
      <alignment horizontal="center" vertical="center" wrapText="1"/>
    </xf>
    <xf numFmtId="0" fontId="22" fillId="23" borderId="16" xfId="39" applyBorder="1" applyAlignment="1">
      <alignment horizontal="center" vertical="center" wrapText="1"/>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readingOrder="1"/>
    </xf>
    <xf numFmtId="190" fontId="2" fillId="0" borderId="12" xfId="50" applyNumberFormat="1" applyFont="1" applyFill="1" applyBorder="1" applyAlignment="1">
      <alignment horizontal="center" vertical="center" wrapText="1" readingOrder="1"/>
    </xf>
    <xf numFmtId="0" fontId="2" fillId="0" borderId="0" xfId="0" applyNumberFormat="1" applyFont="1" applyFill="1" applyBorder="1" applyAlignment="1">
      <alignment horizontal="center" vertical="center" wrapText="1" readingOrder="1"/>
    </xf>
    <xf numFmtId="190" fontId="2" fillId="0" borderId="0" xfId="50" applyNumberFormat="1" applyFont="1" applyFill="1" applyBorder="1" applyAlignment="1">
      <alignment horizontal="center" vertical="center" wrapText="1" readingOrder="1"/>
    </xf>
    <xf numFmtId="0" fontId="2" fillId="0" borderId="0" xfId="0" applyFont="1" applyFill="1" applyBorder="1" applyAlignment="1">
      <alignment horizontal="left" vertical="center"/>
    </xf>
    <xf numFmtId="190" fontId="2" fillId="0" borderId="0" xfId="50" applyNumberFormat="1" applyFont="1" applyFill="1" applyBorder="1" applyAlignment="1">
      <alignment/>
    </xf>
    <xf numFmtId="0" fontId="2" fillId="0" borderId="0" xfId="0" applyFont="1" applyFill="1" applyAlignment="1">
      <alignment/>
    </xf>
    <xf numFmtId="190" fontId="2" fillId="0" borderId="0" xfId="0" applyNumberFormat="1" applyFont="1" applyFill="1" applyAlignment="1">
      <alignment/>
    </xf>
    <xf numFmtId="0" fontId="3" fillId="0" borderId="12" xfId="0" applyNumberFormat="1" applyFont="1" applyFill="1" applyBorder="1" applyAlignment="1">
      <alignment horizontal="left" vertical="center" wrapText="1" readingOrder="1"/>
    </xf>
    <xf numFmtId="0" fontId="38" fillId="0" borderId="12" xfId="0" applyFont="1" applyFill="1" applyBorder="1" applyAlignment="1">
      <alignment horizontal="center" vertical="center" wrapText="1"/>
    </xf>
    <xf numFmtId="190" fontId="38" fillId="0" borderId="12" xfId="0" applyNumberFormat="1" applyFont="1" applyFill="1" applyBorder="1" applyAlignment="1">
      <alignment horizontal="center" vertical="center" wrapText="1"/>
    </xf>
    <xf numFmtId="170" fontId="38" fillId="0" borderId="12" xfId="0" applyNumberFormat="1" applyFont="1" applyFill="1" applyBorder="1" applyAlignment="1">
      <alignment horizontal="center" vertical="center" wrapText="1"/>
    </xf>
    <xf numFmtId="170" fontId="0" fillId="0" borderId="0" xfId="0" applyNumberFormat="1" applyAlignment="1">
      <alignment wrapText="1"/>
    </xf>
    <xf numFmtId="170" fontId="0" fillId="0" borderId="12" xfId="0" applyNumberFormat="1" applyFill="1" applyBorder="1" applyAlignment="1">
      <alignment horizontal="center" vertical="center" wrapText="1"/>
    </xf>
    <xf numFmtId="0" fontId="38" fillId="0" borderId="12" xfId="53" applyFont="1" applyFill="1" applyBorder="1" applyAlignment="1">
      <alignment horizontal="center" vertical="center" wrapText="1"/>
      <protection/>
    </xf>
    <xf numFmtId="0" fontId="38" fillId="0" borderId="12" xfId="53" applyFont="1" applyFill="1" applyBorder="1" applyAlignment="1">
      <alignment horizontal="center" vertical="center"/>
      <protection/>
    </xf>
    <xf numFmtId="0" fontId="0" fillId="0" borderId="0" xfId="0" applyAlignment="1">
      <alignment/>
    </xf>
    <xf numFmtId="0" fontId="38" fillId="0" borderId="12" xfId="0" applyFont="1" applyFill="1" applyBorder="1" applyAlignment="1">
      <alignment horizontal="center" vertical="center"/>
    </xf>
    <xf numFmtId="0" fontId="38" fillId="0" borderId="12" xfId="0" applyFont="1" applyFill="1" applyBorder="1" applyAlignment="1">
      <alignment horizontal="left" vertical="center"/>
    </xf>
    <xf numFmtId="170" fontId="0" fillId="0" borderId="0" xfId="0" applyNumberFormat="1" applyAlignment="1">
      <alignment horizontal="right" wrapText="1"/>
    </xf>
    <xf numFmtId="0" fontId="38" fillId="0" borderId="12" xfId="39" applyFont="1" applyFill="1" applyBorder="1" applyAlignment="1">
      <alignment horizontal="center" vertical="center" wrapText="1"/>
    </xf>
    <xf numFmtId="0" fontId="0" fillId="0" borderId="12" xfId="39" applyFont="1" applyFill="1" applyBorder="1" applyAlignment="1">
      <alignment horizontal="center" vertical="center" wrapText="1"/>
    </xf>
    <xf numFmtId="10" fontId="0" fillId="0" borderId="10" xfId="56" applyNumberFormat="1" applyFont="1" applyBorder="1" applyAlignment="1">
      <alignment horizontal="center" vertical="center" wrapText="1"/>
    </xf>
    <xf numFmtId="10" fontId="0" fillId="0" borderId="17" xfId="56" applyNumberFormat="1" applyFont="1" applyBorder="1" applyAlignment="1">
      <alignment horizontal="center" vertical="center" wrapText="1"/>
    </xf>
    <xf numFmtId="178" fontId="0" fillId="0" borderId="0" xfId="50" applyNumberFormat="1" applyFont="1" applyFill="1" applyAlignment="1">
      <alignment/>
    </xf>
    <xf numFmtId="0" fontId="0" fillId="0" borderId="0" xfId="0" applyFill="1" applyAlignment="1">
      <alignment/>
    </xf>
    <xf numFmtId="190" fontId="2" fillId="0" borderId="18" xfId="50" applyNumberFormat="1" applyFont="1" applyFill="1" applyBorder="1" applyAlignment="1">
      <alignment horizontal="center" vertical="center" wrapText="1" readingOrder="1"/>
    </xf>
    <xf numFmtId="0" fontId="3" fillId="0" borderId="18" xfId="0" applyNumberFormat="1" applyFont="1" applyFill="1" applyBorder="1" applyAlignment="1">
      <alignment horizontal="left" vertical="center" wrapText="1" readingOrder="1"/>
    </xf>
    <xf numFmtId="0" fontId="2" fillId="0" borderId="18" xfId="0" applyNumberFormat="1" applyFont="1" applyFill="1" applyBorder="1" applyAlignment="1">
      <alignment horizontal="left" vertical="center" wrapText="1" indent="4" readingOrder="1"/>
    </xf>
    <xf numFmtId="10" fontId="0" fillId="0" borderId="0" xfId="56" applyNumberFormat="1" applyFont="1" applyFill="1" applyAlignment="1">
      <alignment/>
    </xf>
    <xf numFmtId="192" fontId="0" fillId="0" borderId="12" xfId="48" applyNumberFormat="1" applyFont="1" applyBorder="1" applyAlignment="1">
      <alignment wrapText="1"/>
    </xf>
    <xf numFmtId="177" fontId="0" fillId="0" borderId="0" xfId="48" applyFont="1" applyBorder="1" applyAlignment="1">
      <alignment wrapText="1"/>
    </xf>
    <xf numFmtId="10" fontId="0" fillId="0" borderId="0" xfId="56" applyNumberFormat="1" applyFont="1" applyFill="1" applyAlignment="1">
      <alignment/>
    </xf>
    <xf numFmtId="0" fontId="2" fillId="0" borderId="19" xfId="0" applyNumberFormat="1" applyFont="1" applyFill="1" applyBorder="1" applyAlignment="1">
      <alignment horizontal="center" vertical="center" wrapText="1" readingOrder="1"/>
    </xf>
    <xf numFmtId="0" fontId="3" fillId="0" borderId="20" xfId="0" applyNumberFormat="1" applyFont="1" applyFill="1" applyBorder="1" applyAlignment="1">
      <alignment horizontal="left" vertical="center" wrapText="1" readingOrder="1"/>
    </xf>
    <xf numFmtId="190" fontId="3" fillId="0" borderId="20" xfId="50" applyNumberFormat="1" applyFont="1" applyFill="1" applyBorder="1" applyAlignment="1">
      <alignment horizontal="center" vertical="center" wrapText="1" readingOrder="1"/>
    </xf>
    <xf numFmtId="0" fontId="3" fillId="0" borderId="21" xfId="0" applyNumberFormat="1" applyFont="1" applyFill="1" applyBorder="1" applyAlignment="1">
      <alignment horizontal="center" vertical="center" wrapText="1" readingOrder="1"/>
    </xf>
    <xf numFmtId="190" fontId="3" fillId="0" borderId="18" xfId="50" applyNumberFormat="1" applyFont="1" applyFill="1" applyBorder="1" applyAlignment="1">
      <alignment horizontal="center" vertical="center" wrapText="1" readingOrder="1"/>
    </xf>
    <xf numFmtId="177" fontId="0" fillId="0" borderId="22" xfId="48" applyFont="1" applyBorder="1" applyAlignment="1">
      <alignment wrapText="1"/>
    </xf>
    <xf numFmtId="10" fontId="0" fillId="0" borderId="12" xfId="56" applyNumberFormat="1" applyFont="1" applyFill="1" applyBorder="1" applyAlignment="1">
      <alignment horizontal="center" vertical="center" wrapText="1"/>
    </xf>
    <xf numFmtId="0" fontId="39" fillId="0" borderId="12" xfId="0" applyNumberFormat="1" applyFont="1" applyFill="1" applyBorder="1" applyAlignment="1">
      <alignment horizontal="left" vertical="center" wrapText="1" readingOrder="1"/>
    </xf>
    <xf numFmtId="10" fontId="0" fillId="0" borderId="12" xfId="56" applyNumberFormat="1" applyFont="1" applyFill="1" applyBorder="1" applyAlignment="1">
      <alignment horizontal="center" vertical="center"/>
    </xf>
    <xf numFmtId="192" fontId="3" fillId="0" borderId="12" xfId="50" applyNumberFormat="1" applyFont="1" applyFill="1" applyBorder="1" applyAlignment="1">
      <alignment horizontal="center" vertical="center" wrapText="1" readingOrder="1"/>
    </xf>
    <xf numFmtId="0" fontId="2" fillId="0" borderId="12" xfId="0" applyNumberFormat="1" applyFont="1" applyFill="1" applyBorder="1" applyAlignment="1">
      <alignment horizontal="left" vertical="center" wrapText="1" indent="4" readingOrder="1"/>
    </xf>
    <xf numFmtId="192" fontId="2" fillId="0" borderId="12" xfId="50" applyNumberFormat="1" applyFont="1" applyFill="1" applyBorder="1" applyAlignment="1">
      <alignment horizontal="center" vertical="center" wrapText="1" readingOrder="1"/>
    </xf>
    <xf numFmtId="10" fontId="0" fillId="0" borderId="12" xfId="56" applyNumberFormat="1" applyFont="1" applyFill="1" applyBorder="1" applyAlignment="1">
      <alignment horizontal="center" vertical="center"/>
    </xf>
    <xf numFmtId="192" fontId="3" fillId="0" borderId="12" xfId="0" applyNumberFormat="1" applyFont="1" applyFill="1" applyBorder="1" applyAlignment="1">
      <alignment horizontal="left" vertical="center" wrapText="1" readingOrder="1"/>
    </xf>
    <xf numFmtId="192" fontId="2" fillId="0" borderId="12" xfId="0" applyNumberFormat="1" applyFont="1" applyFill="1" applyBorder="1" applyAlignment="1">
      <alignment horizontal="left" vertical="center" wrapText="1" indent="4" readingOrder="1"/>
    </xf>
    <xf numFmtId="192" fontId="39" fillId="0" borderId="12" xfId="0" applyNumberFormat="1" applyFont="1" applyFill="1" applyBorder="1" applyAlignment="1">
      <alignment horizontal="left" vertical="center" wrapText="1" readingOrder="1"/>
    </xf>
    <xf numFmtId="192" fontId="2" fillId="0" borderId="12" xfId="0" applyNumberFormat="1" applyFont="1" applyFill="1" applyBorder="1" applyAlignment="1">
      <alignment horizontal="center" vertical="center" wrapText="1" readingOrder="1"/>
    </xf>
    <xf numFmtId="0" fontId="3" fillId="0" borderId="12" xfId="0" applyNumberFormat="1" applyFont="1" applyFill="1" applyBorder="1" applyAlignment="1">
      <alignment horizontal="center" vertical="center" wrapText="1" readingOrder="1"/>
    </xf>
    <xf numFmtId="10" fontId="0" fillId="0" borderId="12" xfId="56" applyNumberFormat="1" applyFont="1" applyFill="1" applyBorder="1" applyAlignment="1">
      <alignment/>
    </xf>
    <xf numFmtId="170" fontId="38" fillId="0" borderId="0" xfId="0" applyNumberFormat="1" applyFont="1" applyAlignment="1">
      <alignment horizontal="right" wrapText="1"/>
    </xf>
    <xf numFmtId="170" fontId="38" fillId="0" borderId="0" xfId="0" applyNumberFormat="1" applyFont="1" applyAlignment="1">
      <alignment horizontal="right" vertical="center" wrapText="1"/>
    </xf>
    <xf numFmtId="10" fontId="0" fillId="0" borderId="12" xfId="56" applyNumberFormat="1" applyFont="1" applyBorder="1" applyAlignment="1">
      <alignment wrapText="1"/>
    </xf>
    <xf numFmtId="10" fontId="0" fillId="0" borderId="12" xfId="56" applyNumberFormat="1" applyFont="1" applyBorder="1" applyAlignment="1">
      <alignment horizontal="center" vertical="center" wrapText="1"/>
    </xf>
    <xf numFmtId="190" fontId="3" fillId="0" borderId="12" xfId="50" applyNumberFormat="1" applyFont="1" applyFill="1" applyBorder="1" applyAlignment="1">
      <alignment horizontal="center" vertical="center" wrapText="1" readingOrder="1"/>
    </xf>
    <xf numFmtId="170" fontId="38" fillId="0" borderId="10" xfId="50" applyNumberFormat="1" applyFont="1" applyFill="1" applyBorder="1" applyAlignment="1">
      <alignment horizontal="center" vertical="center" wrapText="1"/>
    </xf>
    <xf numFmtId="14" fontId="0" fillId="33" borderId="17" xfId="0" applyNumberFormat="1" applyFill="1" applyBorder="1" applyAlignment="1">
      <alignment horizontal="center" wrapText="1"/>
    </xf>
    <xf numFmtId="170" fontId="0" fillId="33" borderId="10" xfId="50" applyNumberFormat="1" applyFont="1" applyFill="1" applyBorder="1" applyAlignment="1">
      <alignment horizontal="center" vertical="center" wrapText="1"/>
    </xf>
    <xf numFmtId="170" fontId="38" fillId="34" borderId="12" xfId="50" applyNumberFormat="1" applyFont="1" applyFill="1" applyBorder="1" applyAlignment="1">
      <alignment horizontal="center" vertical="center"/>
    </xf>
    <xf numFmtId="170" fontId="38" fillId="34" borderId="12" xfId="50" applyNumberFormat="1" applyFont="1" applyFill="1" applyBorder="1" applyAlignment="1">
      <alignment horizontal="center" vertical="center" wrapText="1"/>
    </xf>
    <xf numFmtId="170" fontId="38" fillId="34" borderId="12" xfId="39" applyNumberFormat="1" applyFont="1" applyFill="1" applyBorder="1" applyAlignment="1">
      <alignment horizontal="center" vertical="center" wrapText="1"/>
    </xf>
    <xf numFmtId="170" fontId="38" fillId="34" borderId="12" xfId="0" applyNumberFormat="1" applyFont="1" applyFill="1" applyBorder="1" applyAlignment="1">
      <alignment horizontal="center"/>
    </xf>
    <xf numFmtId="17" fontId="0" fillId="0" borderId="12" xfId="0" applyNumberFormat="1" applyFill="1" applyBorder="1" applyAlignment="1">
      <alignment horizontal="center" vertical="center" wrapText="1"/>
    </xf>
    <xf numFmtId="0" fontId="0" fillId="33" borderId="13" xfId="0" applyFill="1" applyBorder="1" applyAlignment="1">
      <alignment horizontal="center" vertical="center" wrapText="1"/>
    </xf>
    <xf numFmtId="0" fontId="3" fillId="33" borderId="13" xfId="0" applyNumberFormat="1" applyFont="1" applyFill="1" applyBorder="1" applyAlignment="1">
      <alignment horizontal="left" vertical="center" readingOrder="1"/>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xf numFmtId="10" fontId="0" fillId="33" borderId="10" xfId="56" applyNumberFormat="1" applyFont="1" applyFill="1" applyBorder="1" applyAlignment="1">
      <alignment horizontal="center" vertical="center" wrapText="1"/>
    </xf>
    <xf numFmtId="0" fontId="0" fillId="33" borderId="0" xfId="0" applyFill="1" applyAlignment="1">
      <alignment wrapText="1"/>
    </xf>
    <xf numFmtId="10" fontId="0" fillId="33" borderId="12" xfId="56" applyNumberFormat="1" applyFont="1" applyFill="1" applyBorder="1" applyAlignment="1">
      <alignment horizontal="center" vertical="center" wrapText="1"/>
    </xf>
    <xf numFmtId="186" fontId="0" fillId="0" borderId="0" xfId="48" applyNumberFormat="1" applyFont="1" applyAlignment="1">
      <alignment wrapText="1"/>
    </xf>
    <xf numFmtId="0" fontId="38" fillId="33" borderId="23" xfId="0" applyFont="1" applyFill="1" applyBorder="1" applyAlignment="1">
      <alignment horizontal="left" vertical="center" wrapText="1"/>
    </xf>
    <xf numFmtId="186" fontId="0" fillId="0" borderId="0" xfId="0" applyNumberFormat="1" applyAlignment="1">
      <alignment wrapText="1"/>
    </xf>
    <xf numFmtId="186" fontId="0" fillId="0" borderId="0" xfId="48" applyNumberFormat="1" applyFont="1" applyAlignment="1">
      <alignment wrapText="1"/>
    </xf>
    <xf numFmtId="0" fontId="0" fillId="33" borderId="12" xfId="0" applyFill="1" applyBorder="1" applyAlignment="1">
      <alignment horizontal="left" wrapText="1"/>
    </xf>
    <xf numFmtId="0" fontId="0" fillId="33" borderId="12" xfId="0" applyFill="1" applyBorder="1" applyAlignment="1">
      <alignment horizontal="center" wrapText="1"/>
    </xf>
    <xf numFmtId="0" fontId="38" fillId="33" borderId="12" xfId="0" applyFont="1" applyFill="1" applyBorder="1" applyAlignment="1">
      <alignment horizontal="center" vertical="center" wrapText="1"/>
    </xf>
    <xf numFmtId="0" fontId="38" fillId="33" borderId="12" xfId="0" applyFont="1" applyFill="1" applyBorder="1" applyAlignment="1">
      <alignment horizontal="left" vertical="center"/>
    </xf>
    <xf numFmtId="10" fontId="0" fillId="33" borderId="12" xfId="56" applyNumberFormat="1" applyFont="1" applyFill="1" applyBorder="1" applyAlignment="1">
      <alignment horizontal="center" vertical="center" wrapText="1"/>
    </xf>
    <xf numFmtId="10" fontId="0" fillId="33" borderId="24" xfId="56" applyNumberFormat="1" applyFont="1" applyFill="1" applyBorder="1" applyAlignment="1">
      <alignment horizontal="center" vertical="center"/>
    </xf>
    <xf numFmtId="0" fontId="38" fillId="33" borderId="13" xfId="39" applyFont="1" applyFill="1" applyBorder="1" applyAlignment="1">
      <alignment horizontal="left" vertical="center" wrapText="1"/>
    </xf>
    <xf numFmtId="0" fontId="38" fillId="33" borderId="13" xfId="0" applyFont="1" applyFill="1" applyBorder="1" applyAlignment="1">
      <alignment horizontal="left" vertical="center" wrapText="1"/>
    </xf>
    <xf numFmtId="0" fontId="3" fillId="33" borderId="13" xfId="0" applyNumberFormat="1" applyFont="1" applyFill="1" applyBorder="1" applyAlignment="1">
      <alignment horizontal="left" vertical="center" wrapText="1" readingOrder="1"/>
    </xf>
    <xf numFmtId="0" fontId="38" fillId="33" borderId="13" xfId="0" applyFont="1" applyFill="1" applyBorder="1" applyAlignment="1">
      <alignment horizontal="left" vertical="center"/>
    </xf>
    <xf numFmtId="0" fontId="38" fillId="33" borderId="23" xfId="0" applyFont="1" applyFill="1" applyBorder="1" applyAlignment="1">
      <alignment vertical="center"/>
    </xf>
    <xf numFmtId="0" fontId="38" fillId="33" borderId="22" xfId="0" applyFont="1" applyFill="1" applyBorder="1" applyAlignment="1">
      <alignment vertical="center"/>
    </xf>
    <xf numFmtId="190" fontId="3" fillId="33" borderId="12" xfId="50" applyNumberFormat="1" applyFont="1" applyFill="1" applyBorder="1" applyAlignment="1">
      <alignment horizontal="center" vertical="center" readingOrder="1"/>
    </xf>
    <xf numFmtId="0" fontId="38" fillId="33" borderId="12" xfId="54" applyFont="1" applyFill="1" applyBorder="1" applyAlignment="1">
      <alignment horizontal="center" vertical="center"/>
      <protection/>
    </xf>
    <xf numFmtId="0" fontId="38" fillId="33" borderId="12" xfId="0" applyFont="1" applyFill="1" applyBorder="1" applyAlignment="1">
      <alignment horizontal="center" vertical="center"/>
    </xf>
    <xf numFmtId="0" fontId="0" fillId="0" borderId="22" xfId="0" applyFill="1" applyBorder="1" applyAlignment="1">
      <alignment horizontal="center" vertical="center" wrapText="1"/>
    </xf>
    <xf numFmtId="10" fontId="0" fillId="33" borderId="24" xfId="56" applyNumberFormat="1" applyFont="1" applyFill="1" applyBorder="1" applyAlignment="1">
      <alignment horizontal="center" vertical="center" wrapText="1"/>
    </xf>
    <xf numFmtId="170" fontId="0" fillId="33" borderId="12" xfId="50" applyNumberFormat="1" applyFont="1" applyFill="1" applyBorder="1" applyAlignment="1">
      <alignment horizontal="center" vertical="center" wrapText="1"/>
    </xf>
    <xf numFmtId="170" fontId="38" fillId="34" borderId="24" xfId="50" applyNumberFormat="1" applyFont="1" applyFill="1" applyBorder="1" applyAlignment="1">
      <alignment horizontal="center" vertical="center" wrapText="1"/>
    </xf>
    <xf numFmtId="170" fontId="0" fillId="0" borderId="12" xfId="50" applyNumberFormat="1" applyFont="1" applyFill="1" applyBorder="1" applyAlignment="1">
      <alignment horizontal="center" vertical="center" wrapText="1"/>
    </xf>
    <xf numFmtId="170" fontId="0" fillId="0" borderId="12" xfId="50" applyNumberFormat="1" applyFont="1" applyFill="1" applyBorder="1" applyAlignment="1">
      <alignment horizontal="center" vertical="center" wrapText="1"/>
    </xf>
    <xf numFmtId="193" fontId="0" fillId="0" borderId="0" xfId="56" applyNumberFormat="1" applyFont="1" applyAlignment="1">
      <alignment wrapText="1"/>
    </xf>
    <xf numFmtId="194" fontId="0" fillId="0" borderId="0" xfId="56" applyNumberFormat="1" applyFont="1" applyAlignment="1">
      <alignment wrapText="1"/>
    </xf>
    <xf numFmtId="10" fontId="0" fillId="0" borderId="0" xfId="56" applyNumberFormat="1" applyFont="1" applyBorder="1" applyAlignment="1">
      <alignment horizontal="center" vertical="center" wrapText="1"/>
    </xf>
    <xf numFmtId="0" fontId="3" fillId="33" borderId="25" xfId="0" applyNumberFormat="1" applyFont="1" applyFill="1" applyBorder="1" applyAlignment="1">
      <alignment horizontal="left" vertical="center" readingOrder="1"/>
    </xf>
    <xf numFmtId="190" fontId="3" fillId="0" borderId="24" xfId="50" applyNumberFormat="1" applyFont="1" applyFill="1" applyBorder="1" applyAlignment="1">
      <alignment horizontal="center" vertical="center" readingOrder="1"/>
    </xf>
    <xf numFmtId="0" fontId="38" fillId="0" borderId="24" xfId="53" applyFont="1" applyFill="1" applyBorder="1" applyAlignment="1">
      <alignment horizontal="center" vertical="center"/>
      <protection/>
    </xf>
    <xf numFmtId="0" fontId="0" fillId="0" borderId="24" xfId="0" applyFont="1" applyFill="1" applyBorder="1" applyAlignment="1">
      <alignment horizontal="center" vertical="center"/>
    </xf>
    <xf numFmtId="0" fontId="0" fillId="0" borderId="24" xfId="0" applyFill="1" applyBorder="1" applyAlignment="1">
      <alignment horizontal="center" vertical="center"/>
    </xf>
    <xf numFmtId="0" fontId="0" fillId="0" borderId="12" xfId="53" applyFont="1" applyFill="1" applyBorder="1" applyAlignment="1">
      <alignment horizontal="center" vertical="center" wrapText="1"/>
      <protection/>
    </xf>
    <xf numFmtId="0" fontId="0" fillId="0" borderId="13" xfId="0" applyFill="1" applyBorder="1" applyAlignment="1">
      <alignment horizontal="center" vertical="center" wrapText="1"/>
    </xf>
    <xf numFmtId="0" fontId="3" fillId="0" borderId="13" xfId="0" applyNumberFormat="1" applyFont="1" applyFill="1" applyBorder="1" applyAlignment="1">
      <alignment horizontal="left" vertical="center" readingOrder="1"/>
    </xf>
    <xf numFmtId="0" fontId="38" fillId="0" borderId="12" xfId="0" applyFont="1" applyBorder="1" applyAlignment="1">
      <alignment horizontal="center" wrapText="1"/>
    </xf>
    <xf numFmtId="0" fontId="38" fillId="33" borderId="23" xfId="0" applyFont="1" applyFill="1" applyBorder="1" applyAlignment="1">
      <alignment horizontal="left" vertical="center" wrapText="1"/>
    </xf>
    <xf numFmtId="0" fontId="38" fillId="33" borderId="22" xfId="0" applyFont="1" applyFill="1" applyBorder="1" applyAlignment="1">
      <alignment horizontal="left"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Alignment="1">
      <alignment horizontal="left" wrapText="1"/>
    </xf>
    <xf numFmtId="0" fontId="38" fillId="0" borderId="0" xfId="0" applyFont="1" applyAlignment="1">
      <alignment horizontal="left" wrapText="1"/>
    </xf>
    <xf numFmtId="0" fontId="38" fillId="0" borderId="0" xfId="0" applyFont="1" applyAlignment="1">
      <alignment horizontal="left" vertical="center" wrapText="1"/>
    </xf>
    <xf numFmtId="0" fontId="2" fillId="0" borderId="18"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wrapText="1" readingOrder="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5"/>
  <sheetViews>
    <sheetView zoomScalePageLayoutView="0" workbookViewId="0" topLeftCell="A1">
      <selection activeCell="C21" sqref="C21"/>
    </sheetView>
  </sheetViews>
  <sheetFormatPr defaultColWidth="11.421875" defaultRowHeight="15"/>
  <cols>
    <col min="3" max="3" width="65.140625" style="0" bestFit="1" customWidth="1"/>
    <col min="7" max="7" width="15.8515625" style="0" customWidth="1"/>
    <col min="12" max="12" width="33.421875" style="0" bestFit="1" customWidth="1"/>
  </cols>
  <sheetData>
    <row r="2" spans="2:12" s="1" customFormat="1" ht="15">
      <c r="B2" s="134" t="s">
        <v>102</v>
      </c>
      <c r="C2" s="134"/>
      <c r="D2" s="134"/>
      <c r="E2" s="134"/>
      <c r="F2" s="134"/>
      <c r="G2" s="134"/>
      <c r="H2" s="134"/>
      <c r="I2" s="134"/>
      <c r="J2" s="134"/>
      <c r="K2" s="134"/>
      <c r="L2" s="134"/>
    </row>
    <row r="3" spans="2:12" s="1" customFormat="1" ht="60">
      <c r="B3" s="8" t="s">
        <v>36</v>
      </c>
      <c r="C3" s="7" t="s">
        <v>37</v>
      </c>
      <c r="D3" s="7"/>
      <c r="E3" s="7"/>
      <c r="F3" s="7"/>
      <c r="G3" s="7" t="s">
        <v>33</v>
      </c>
      <c r="H3" s="15"/>
      <c r="I3" s="7"/>
      <c r="J3" s="7"/>
      <c r="K3" s="7"/>
      <c r="L3" s="12" t="s">
        <v>65</v>
      </c>
    </row>
    <row r="4" spans="2:12" s="1" customFormat="1" ht="75">
      <c r="B4" s="8">
        <v>93141808</v>
      </c>
      <c r="C4" s="7" t="s">
        <v>60</v>
      </c>
      <c r="D4" s="7"/>
      <c r="E4" s="7"/>
      <c r="F4" s="7"/>
      <c r="G4" s="7" t="s">
        <v>33</v>
      </c>
      <c r="H4" s="15"/>
      <c r="I4" s="7"/>
      <c r="J4" s="7"/>
      <c r="K4" s="7"/>
      <c r="L4" s="12" t="s">
        <v>65</v>
      </c>
    </row>
    <row r="5" spans="2:12" s="1" customFormat="1" ht="60">
      <c r="B5" s="8">
        <v>56101713</v>
      </c>
      <c r="C5" s="7" t="s">
        <v>61</v>
      </c>
      <c r="D5" s="7"/>
      <c r="E5" s="7"/>
      <c r="F5" s="7"/>
      <c r="G5" s="7" t="s">
        <v>33</v>
      </c>
      <c r="H5" s="15"/>
      <c r="I5" s="7"/>
      <c r="J5" s="7"/>
      <c r="K5" s="7"/>
      <c r="L5" s="12" t="s">
        <v>65</v>
      </c>
    </row>
    <row r="6" spans="2:12" s="1" customFormat="1" ht="60">
      <c r="B6" s="8">
        <v>40101604</v>
      </c>
      <c r="C6" s="7" t="s">
        <v>62</v>
      </c>
      <c r="D6" s="7"/>
      <c r="E6" s="7"/>
      <c r="F6" s="7"/>
      <c r="G6" s="7" t="s">
        <v>33</v>
      </c>
      <c r="H6" s="15"/>
      <c r="I6" s="7"/>
      <c r="J6" s="7"/>
      <c r="K6" s="7"/>
      <c r="L6" s="12" t="s">
        <v>65</v>
      </c>
    </row>
    <row r="7" spans="2:12" s="1" customFormat="1" ht="60">
      <c r="B7" s="8">
        <v>72141200</v>
      </c>
      <c r="C7" s="7" t="s">
        <v>51</v>
      </c>
      <c r="D7" s="7"/>
      <c r="E7" s="7"/>
      <c r="F7" s="7"/>
      <c r="G7" s="7" t="s">
        <v>33</v>
      </c>
      <c r="H7" s="15"/>
      <c r="I7" s="7"/>
      <c r="J7" s="7"/>
      <c r="K7" s="7"/>
      <c r="L7" s="12" t="s">
        <v>65</v>
      </c>
    </row>
    <row r="8" spans="2:12" s="1" customFormat="1" ht="90">
      <c r="B8" s="9" t="s">
        <v>56</v>
      </c>
      <c r="C8" s="16" t="s">
        <v>55</v>
      </c>
      <c r="D8" s="10"/>
      <c r="E8" s="10"/>
      <c r="F8" s="10"/>
      <c r="G8" s="10" t="s">
        <v>33</v>
      </c>
      <c r="H8" s="14"/>
      <c r="I8" s="11"/>
      <c r="J8" s="11"/>
      <c r="K8" s="11"/>
      <c r="L8" s="12" t="s">
        <v>65</v>
      </c>
    </row>
    <row r="9" spans="2:12" s="1" customFormat="1" ht="60">
      <c r="B9" s="8" t="s">
        <v>46</v>
      </c>
      <c r="C9" s="7" t="s">
        <v>63</v>
      </c>
      <c r="D9" s="7"/>
      <c r="E9" s="7"/>
      <c r="F9" s="7"/>
      <c r="G9" s="7" t="s">
        <v>33</v>
      </c>
      <c r="H9" s="15"/>
      <c r="I9" s="7"/>
      <c r="J9" s="7"/>
      <c r="K9" s="7"/>
      <c r="L9" s="12" t="s">
        <v>65</v>
      </c>
    </row>
    <row r="10" spans="2:12" s="1" customFormat="1" ht="60">
      <c r="B10" s="8">
        <v>55121606</v>
      </c>
      <c r="C10" s="7" t="s">
        <v>64</v>
      </c>
      <c r="D10" s="7"/>
      <c r="E10" s="7"/>
      <c r="F10" s="7"/>
      <c r="G10" s="7" t="s">
        <v>33</v>
      </c>
      <c r="H10" s="15"/>
      <c r="I10" s="7"/>
      <c r="J10" s="7"/>
      <c r="K10" s="7"/>
      <c r="L10" s="12" t="s">
        <v>65</v>
      </c>
    </row>
    <row r="11" spans="2:12" s="1" customFormat="1" ht="60">
      <c r="B11" s="8">
        <v>72101509</v>
      </c>
      <c r="C11" s="7" t="s">
        <v>52</v>
      </c>
      <c r="D11" s="13"/>
      <c r="E11" s="13"/>
      <c r="F11" s="7"/>
      <c r="G11" s="7" t="s">
        <v>33</v>
      </c>
      <c r="H11" s="15"/>
      <c r="I11" s="7"/>
      <c r="J11" s="7"/>
      <c r="K11" s="7"/>
      <c r="L11" s="12" t="s">
        <v>65</v>
      </c>
    </row>
    <row r="12" spans="2:12" s="1" customFormat="1" ht="60">
      <c r="B12" s="8">
        <v>95121646</v>
      </c>
      <c r="C12" s="7" t="s">
        <v>68</v>
      </c>
      <c r="D12" s="7"/>
      <c r="E12" s="7"/>
      <c r="F12" s="7"/>
      <c r="G12" s="7" t="s">
        <v>33</v>
      </c>
      <c r="H12" s="15"/>
      <c r="I12" s="7"/>
      <c r="J12" s="7"/>
      <c r="K12" s="7"/>
      <c r="L12" s="12" t="s">
        <v>65</v>
      </c>
    </row>
    <row r="13" spans="2:12" s="1" customFormat="1" ht="90">
      <c r="B13" s="8" t="s">
        <v>70</v>
      </c>
      <c r="C13" s="7" t="s">
        <v>69</v>
      </c>
      <c r="D13" s="7"/>
      <c r="E13" s="7"/>
      <c r="F13" s="7"/>
      <c r="G13" s="7" t="s">
        <v>33</v>
      </c>
      <c r="H13" s="15"/>
      <c r="I13" s="7"/>
      <c r="J13" s="7"/>
      <c r="K13" s="7"/>
      <c r="L13" s="12" t="s">
        <v>65</v>
      </c>
    </row>
    <row r="14" spans="2:12" s="1" customFormat="1" ht="60">
      <c r="B14" s="8" t="s">
        <v>66</v>
      </c>
      <c r="C14" s="7" t="s">
        <v>67</v>
      </c>
      <c r="D14" s="7"/>
      <c r="E14" s="7"/>
      <c r="F14" s="7"/>
      <c r="G14" s="7" t="s">
        <v>33</v>
      </c>
      <c r="H14" s="15"/>
      <c r="I14" s="7"/>
      <c r="J14" s="7"/>
      <c r="K14" s="7"/>
      <c r="L14" s="12" t="s">
        <v>65</v>
      </c>
    </row>
    <row r="15" spans="2:12" s="1" customFormat="1" ht="60">
      <c r="B15" s="8">
        <v>80111600</v>
      </c>
      <c r="C15" s="7" t="s">
        <v>53</v>
      </c>
      <c r="D15" s="7"/>
      <c r="E15" s="7"/>
      <c r="F15" s="7"/>
      <c r="G15" s="7" t="s">
        <v>33</v>
      </c>
      <c r="H15" s="15"/>
      <c r="I15" s="7"/>
      <c r="J15" s="7"/>
      <c r="K15" s="7"/>
      <c r="L15" s="12" t="s">
        <v>65</v>
      </c>
    </row>
    <row r="16" spans="2:12" s="1" customFormat="1" ht="75">
      <c r="B16" s="8" t="s">
        <v>72</v>
      </c>
      <c r="C16" s="7" t="s">
        <v>71</v>
      </c>
      <c r="D16" s="7"/>
      <c r="E16" s="7"/>
      <c r="F16" s="7"/>
      <c r="G16" s="7" t="s">
        <v>33</v>
      </c>
      <c r="H16" s="15"/>
      <c r="I16" s="7"/>
      <c r="J16" s="7"/>
      <c r="K16" s="7"/>
      <c r="L16" s="12" t="s">
        <v>65</v>
      </c>
    </row>
    <row r="17" spans="2:12" s="1" customFormat="1" ht="60">
      <c r="B17" s="8">
        <v>81112200</v>
      </c>
      <c r="C17" s="7" t="s">
        <v>74</v>
      </c>
      <c r="D17" s="7"/>
      <c r="E17" s="7"/>
      <c r="F17" s="7"/>
      <c r="G17" s="7" t="s">
        <v>33</v>
      </c>
      <c r="H17" s="15"/>
      <c r="I17" s="7"/>
      <c r="J17" s="7"/>
      <c r="K17" s="7"/>
      <c r="L17" s="12" t="s">
        <v>65</v>
      </c>
    </row>
    <row r="18" spans="2:12" s="1" customFormat="1" ht="75">
      <c r="B18" s="8">
        <v>92121700</v>
      </c>
      <c r="C18" s="7" t="s">
        <v>75</v>
      </c>
      <c r="D18" s="7"/>
      <c r="E18" s="7"/>
      <c r="F18" s="7"/>
      <c r="G18" s="7" t="s">
        <v>33</v>
      </c>
      <c r="H18" s="15"/>
      <c r="I18" s="7"/>
      <c r="J18" s="7"/>
      <c r="K18" s="7"/>
      <c r="L18" s="12" t="s">
        <v>65</v>
      </c>
    </row>
    <row r="19" spans="2:12" s="1" customFormat="1" ht="60">
      <c r="B19" s="8" t="s">
        <v>77</v>
      </c>
      <c r="C19" s="7" t="s">
        <v>76</v>
      </c>
      <c r="D19" s="7"/>
      <c r="E19" s="7"/>
      <c r="F19" s="7"/>
      <c r="G19" s="7" t="s">
        <v>33</v>
      </c>
      <c r="H19" s="15"/>
      <c r="I19" s="7"/>
      <c r="J19" s="7"/>
      <c r="K19" s="7"/>
      <c r="L19" s="12" t="s">
        <v>65</v>
      </c>
    </row>
    <row r="20" spans="2:12" s="1" customFormat="1" ht="60">
      <c r="B20" s="8" t="s">
        <v>79</v>
      </c>
      <c r="C20" s="7" t="s">
        <v>78</v>
      </c>
      <c r="D20" s="7"/>
      <c r="E20" s="7"/>
      <c r="F20" s="7"/>
      <c r="G20" s="7" t="s">
        <v>33</v>
      </c>
      <c r="H20" s="15"/>
      <c r="I20" s="7"/>
      <c r="J20" s="7"/>
      <c r="K20" s="7"/>
      <c r="L20" s="12" t="s">
        <v>65</v>
      </c>
    </row>
    <row r="21" spans="2:12" s="1" customFormat="1" ht="90">
      <c r="B21" s="8" t="s">
        <v>81</v>
      </c>
      <c r="C21" s="7" t="s">
        <v>80</v>
      </c>
      <c r="D21" s="7"/>
      <c r="E21" s="7"/>
      <c r="F21" s="7"/>
      <c r="G21" s="7" t="s">
        <v>33</v>
      </c>
      <c r="H21" s="15"/>
      <c r="I21" s="7"/>
      <c r="J21" s="7"/>
      <c r="K21" s="7"/>
      <c r="L21" s="12" t="s">
        <v>65</v>
      </c>
    </row>
    <row r="22" spans="2:12" s="1" customFormat="1" ht="105">
      <c r="B22" s="8" t="s">
        <v>94</v>
      </c>
      <c r="C22" s="7" t="s">
        <v>82</v>
      </c>
      <c r="D22" s="7"/>
      <c r="E22" s="7"/>
      <c r="F22" s="7"/>
      <c r="G22" s="7" t="s">
        <v>33</v>
      </c>
      <c r="H22" s="15"/>
      <c r="I22" s="7"/>
      <c r="J22" s="7"/>
      <c r="K22" s="7"/>
      <c r="L22" s="12" t="s">
        <v>65</v>
      </c>
    </row>
    <row r="23" spans="2:12" s="1" customFormat="1" ht="60">
      <c r="B23" s="8" t="s">
        <v>85</v>
      </c>
      <c r="C23" s="7" t="s">
        <v>84</v>
      </c>
      <c r="D23" s="7"/>
      <c r="E23" s="7"/>
      <c r="F23" s="7"/>
      <c r="G23" s="7" t="s">
        <v>33</v>
      </c>
      <c r="H23" s="15"/>
      <c r="I23" s="7"/>
      <c r="J23" s="7"/>
      <c r="K23" s="7"/>
      <c r="L23" s="12" t="s">
        <v>65</v>
      </c>
    </row>
    <row r="24" spans="2:12" s="1" customFormat="1" ht="75">
      <c r="B24" s="8" t="s">
        <v>87</v>
      </c>
      <c r="C24" s="7" t="s">
        <v>86</v>
      </c>
      <c r="D24" s="7"/>
      <c r="E24" s="7"/>
      <c r="F24" s="7"/>
      <c r="G24" s="7" t="s">
        <v>33</v>
      </c>
      <c r="H24" s="15"/>
      <c r="I24" s="7"/>
      <c r="J24" s="7"/>
      <c r="K24" s="7"/>
      <c r="L24" s="12" t="s">
        <v>65</v>
      </c>
    </row>
    <row r="25" spans="2:12" s="1" customFormat="1" ht="75">
      <c r="B25" s="8">
        <v>92121700</v>
      </c>
      <c r="C25" s="7" t="s">
        <v>88</v>
      </c>
      <c r="D25" s="7"/>
      <c r="E25" s="7"/>
      <c r="F25" s="7"/>
      <c r="G25" s="7" t="s">
        <v>33</v>
      </c>
      <c r="H25" s="15"/>
      <c r="I25" s="7"/>
      <c r="J25" s="7"/>
      <c r="K25" s="7"/>
      <c r="L25" s="12" t="s">
        <v>65</v>
      </c>
    </row>
    <row r="26" spans="2:12" s="1" customFormat="1" ht="60">
      <c r="B26" s="8" t="s">
        <v>91</v>
      </c>
      <c r="C26" s="7" t="s">
        <v>90</v>
      </c>
      <c r="D26" s="7"/>
      <c r="E26" s="7"/>
      <c r="F26" s="7"/>
      <c r="G26" s="7" t="s">
        <v>33</v>
      </c>
      <c r="H26" s="15"/>
      <c r="I26" s="7"/>
      <c r="J26" s="7"/>
      <c r="K26" s="7"/>
      <c r="L26" s="12" t="s">
        <v>65</v>
      </c>
    </row>
    <row r="27" spans="2:12" s="1" customFormat="1" ht="75">
      <c r="B27" s="8">
        <v>72151511</v>
      </c>
      <c r="C27" s="7" t="s">
        <v>92</v>
      </c>
      <c r="D27" s="7"/>
      <c r="E27" s="7"/>
      <c r="F27" s="7"/>
      <c r="G27" s="7" t="s">
        <v>33</v>
      </c>
      <c r="H27" s="15"/>
      <c r="I27" s="7"/>
      <c r="J27" s="7"/>
      <c r="K27" s="7"/>
      <c r="L27" s="12" t="s">
        <v>65</v>
      </c>
    </row>
    <row r="28" spans="2:12" s="1" customFormat="1" ht="60">
      <c r="B28" s="8">
        <v>54111605</v>
      </c>
      <c r="C28" s="7" t="s">
        <v>89</v>
      </c>
      <c r="D28" s="7"/>
      <c r="E28" s="7"/>
      <c r="F28" s="7"/>
      <c r="G28" s="7" t="s">
        <v>33</v>
      </c>
      <c r="H28" s="15"/>
      <c r="I28" s="7"/>
      <c r="J28" s="7"/>
      <c r="K28" s="7"/>
      <c r="L28" s="12" t="s">
        <v>65</v>
      </c>
    </row>
    <row r="29" spans="2:12" s="1" customFormat="1" ht="60">
      <c r="B29" s="8">
        <v>24102101</v>
      </c>
      <c r="C29" s="7" t="s">
        <v>95</v>
      </c>
      <c r="D29" s="7"/>
      <c r="E29" s="7"/>
      <c r="F29" s="7"/>
      <c r="G29" s="7" t="s">
        <v>33</v>
      </c>
      <c r="H29" s="15"/>
      <c r="I29" s="7"/>
      <c r="J29" s="7"/>
      <c r="K29" s="7"/>
      <c r="L29" s="12" t="s">
        <v>65</v>
      </c>
    </row>
    <row r="30" spans="2:12" s="1" customFormat="1" ht="60">
      <c r="B30" s="8">
        <v>56121805</v>
      </c>
      <c r="C30" s="7" t="s">
        <v>96</v>
      </c>
      <c r="D30" s="7"/>
      <c r="E30" s="7"/>
      <c r="F30" s="7"/>
      <c r="G30" s="7" t="s">
        <v>33</v>
      </c>
      <c r="H30" s="15"/>
      <c r="I30" s="7"/>
      <c r="J30" s="7"/>
      <c r="K30" s="7"/>
      <c r="L30" s="12" t="s">
        <v>65</v>
      </c>
    </row>
    <row r="31" spans="2:12" s="1" customFormat="1" ht="60">
      <c r="B31" s="8">
        <v>56101703</v>
      </c>
      <c r="C31" s="7" t="s">
        <v>97</v>
      </c>
      <c r="D31" s="7"/>
      <c r="E31" s="7"/>
      <c r="F31" s="7"/>
      <c r="G31" s="7" t="s">
        <v>33</v>
      </c>
      <c r="H31" s="15"/>
      <c r="I31" s="7"/>
      <c r="J31" s="7"/>
      <c r="K31" s="7"/>
      <c r="L31" s="12" t="s">
        <v>65</v>
      </c>
    </row>
    <row r="32" spans="2:12" s="1" customFormat="1" ht="75">
      <c r="B32" s="8" t="s">
        <v>99</v>
      </c>
      <c r="C32" s="7" t="s">
        <v>98</v>
      </c>
      <c r="D32" s="7"/>
      <c r="E32" s="7"/>
      <c r="F32" s="7"/>
      <c r="G32" s="7" t="s">
        <v>33</v>
      </c>
      <c r="H32" s="15"/>
      <c r="I32" s="7"/>
      <c r="J32" s="7"/>
      <c r="K32" s="7"/>
      <c r="L32" s="12" t="s">
        <v>65</v>
      </c>
    </row>
    <row r="33" spans="2:12" s="1" customFormat="1" ht="60">
      <c r="B33" s="8">
        <v>52161505</v>
      </c>
      <c r="C33" s="7" t="s">
        <v>44</v>
      </c>
      <c r="D33" s="7"/>
      <c r="E33" s="7"/>
      <c r="F33" s="7"/>
      <c r="G33" s="7" t="s">
        <v>33</v>
      </c>
      <c r="H33" s="15"/>
      <c r="I33" s="7"/>
      <c r="J33" s="7"/>
      <c r="K33" s="7"/>
      <c r="L33" s="12" t="s">
        <v>65</v>
      </c>
    </row>
    <row r="34" spans="2:12" s="1" customFormat="1" ht="75">
      <c r="B34" s="8" t="s">
        <v>47</v>
      </c>
      <c r="C34" s="7" t="s">
        <v>48</v>
      </c>
      <c r="D34" s="7"/>
      <c r="E34" s="7"/>
      <c r="F34" s="7"/>
      <c r="G34" s="7" t="s">
        <v>33</v>
      </c>
      <c r="H34" s="15"/>
      <c r="I34" s="7"/>
      <c r="J34" s="7"/>
      <c r="K34" s="7"/>
      <c r="L34" s="12" t="s">
        <v>65</v>
      </c>
    </row>
    <row r="35" spans="2:12" s="1" customFormat="1" ht="60">
      <c r="B35" s="8" t="s">
        <v>49</v>
      </c>
      <c r="C35" s="7" t="s">
        <v>50</v>
      </c>
      <c r="D35" s="7"/>
      <c r="E35" s="7"/>
      <c r="F35" s="7"/>
      <c r="G35" s="7" t="s">
        <v>33</v>
      </c>
      <c r="H35" s="15"/>
      <c r="I35" s="7"/>
      <c r="J35" s="7"/>
      <c r="K35" s="7"/>
      <c r="L35" s="12" t="s">
        <v>65</v>
      </c>
    </row>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sheetData>
  <sheetProtection/>
  <mergeCells count="1">
    <mergeCell ref="B2:L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O113"/>
  <sheetViews>
    <sheetView tabSelected="1" zoomScale="80" zoomScaleNormal="80" zoomScalePageLayoutView="0" workbookViewId="0" topLeftCell="A25">
      <selection activeCell="B1" sqref="B1"/>
    </sheetView>
  </sheetViews>
  <sheetFormatPr defaultColWidth="10.8515625" defaultRowHeight="15"/>
  <cols>
    <col min="1" max="1" width="3.28125" style="1" customWidth="1"/>
    <col min="2" max="2" width="25.7109375" style="21" customWidth="1"/>
    <col min="3" max="3" width="31.7109375" style="1" customWidth="1"/>
    <col min="4" max="5" width="15.140625" style="1" customWidth="1"/>
    <col min="6" max="6" width="17.421875" style="1" customWidth="1"/>
    <col min="7" max="7" width="16.28125" style="1" customWidth="1"/>
    <col min="8" max="8" width="21.28125" style="1" customWidth="1"/>
    <col min="9" max="9" width="17.7109375" style="1" customWidth="1"/>
    <col min="10" max="10" width="17.421875" style="1" customWidth="1"/>
    <col min="11" max="11" width="14.8515625" style="1" customWidth="1"/>
    <col min="12" max="12" width="49.00390625" style="1" hidden="1" customWidth="1"/>
    <col min="13" max="13" width="8.7109375" style="1" bestFit="1" customWidth="1"/>
    <col min="14" max="14" width="4.8515625" style="1" hidden="1" customWidth="1"/>
    <col min="15" max="16384" width="10.8515625" style="1" customWidth="1"/>
  </cols>
  <sheetData>
    <row r="2" ht="15">
      <c r="B2" s="18" t="s">
        <v>19</v>
      </c>
    </row>
    <row r="3" ht="15">
      <c r="B3" s="18"/>
    </row>
    <row r="4" ht="15.75" thickBot="1">
      <c r="B4" s="18" t="s">
        <v>0</v>
      </c>
    </row>
    <row r="5" spans="2:9" ht="30">
      <c r="B5" s="19" t="s">
        <v>1</v>
      </c>
      <c r="C5" s="3" t="s">
        <v>26</v>
      </c>
      <c r="F5" s="137" t="s">
        <v>24</v>
      </c>
      <c r="G5" s="138"/>
      <c r="H5" s="138"/>
      <c r="I5" s="139"/>
    </row>
    <row r="6" spans="2:9" ht="15">
      <c r="B6" s="17" t="s">
        <v>2</v>
      </c>
      <c r="C6" s="2" t="s">
        <v>27</v>
      </c>
      <c r="F6" s="140"/>
      <c r="G6" s="141"/>
      <c r="H6" s="141"/>
      <c r="I6" s="142"/>
    </row>
    <row r="7" spans="2:9" ht="15">
      <c r="B7" s="17" t="s">
        <v>3</v>
      </c>
      <c r="C7" s="4" t="s">
        <v>28</v>
      </c>
      <c r="F7" s="140"/>
      <c r="G7" s="141"/>
      <c r="H7" s="141"/>
      <c r="I7" s="142"/>
    </row>
    <row r="8" spans="2:9" ht="15">
      <c r="B8" s="17" t="s">
        <v>15</v>
      </c>
      <c r="C8" s="5" t="s">
        <v>29</v>
      </c>
      <c r="F8" s="140"/>
      <c r="G8" s="141"/>
      <c r="H8" s="141"/>
      <c r="I8" s="142"/>
    </row>
    <row r="9" spans="2:9" ht="409.5">
      <c r="B9" s="17" t="s">
        <v>18</v>
      </c>
      <c r="C9" s="2" t="s">
        <v>30</v>
      </c>
      <c r="F9" s="143"/>
      <c r="G9" s="144"/>
      <c r="H9" s="144"/>
      <c r="I9" s="145"/>
    </row>
    <row r="10" spans="2:9" ht="255">
      <c r="B10" s="17" t="s">
        <v>4</v>
      </c>
      <c r="C10" s="2" t="s">
        <v>31</v>
      </c>
      <c r="F10" s="6"/>
      <c r="G10" s="6"/>
      <c r="H10" s="6"/>
      <c r="I10" s="6"/>
    </row>
    <row r="11" spans="2:9" ht="60">
      <c r="B11" s="17" t="s">
        <v>5</v>
      </c>
      <c r="C11" s="2" t="s">
        <v>104</v>
      </c>
      <c r="F11" s="137" t="s">
        <v>23</v>
      </c>
      <c r="G11" s="138"/>
      <c r="H11" s="138"/>
      <c r="I11" s="139"/>
    </row>
    <row r="12" spans="2:9" ht="15">
      <c r="B12" s="17" t="s">
        <v>20</v>
      </c>
      <c r="C12" s="85">
        <v>53102937004</v>
      </c>
      <c r="F12" s="140"/>
      <c r="G12" s="141"/>
      <c r="H12" s="141"/>
      <c r="I12" s="142"/>
    </row>
    <row r="13" spans="2:9" ht="30">
      <c r="B13" s="17" t="s">
        <v>21</v>
      </c>
      <c r="C13" s="85">
        <v>781242000</v>
      </c>
      <c r="F13" s="140"/>
      <c r="G13" s="141"/>
      <c r="H13" s="141"/>
      <c r="I13" s="142"/>
    </row>
    <row r="14" spans="2:9" ht="30">
      <c r="B14" s="17" t="s">
        <v>22</v>
      </c>
      <c r="C14" s="85">
        <v>78124200</v>
      </c>
      <c r="F14" s="140"/>
      <c r="G14" s="141"/>
      <c r="H14" s="141"/>
      <c r="I14" s="142"/>
    </row>
    <row r="15" spans="2:9" ht="30.75" thickBot="1">
      <c r="B15" s="20" t="s">
        <v>17</v>
      </c>
      <c r="C15" s="84">
        <v>43131</v>
      </c>
      <c r="F15" s="143"/>
      <c r="G15" s="144"/>
      <c r="H15" s="144"/>
      <c r="I15" s="145"/>
    </row>
    <row r="17" ht="15.75" thickBot="1">
      <c r="B17" s="18" t="s">
        <v>14</v>
      </c>
    </row>
    <row r="18" spans="2:14" ht="60">
      <c r="B18" s="22" t="s">
        <v>25</v>
      </c>
      <c r="C18" s="23" t="s">
        <v>6</v>
      </c>
      <c r="D18" s="23" t="s">
        <v>16</v>
      </c>
      <c r="E18" s="23" t="s">
        <v>7</v>
      </c>
      <c r="F18" s="23" t="s">
        <v>8</v>
      </c>
      <c r="G18" s="23" t="s">
        <v>9</v>
      </c>
      <c r="H18" s="23" t="s">
        <v>223</v>
      </c>
      <c r="I18" s="23" t="s">
        <v>10</v>
      </c>
      <c r="J18" s="23" t="s">
        <v>11</v>
      </c>
      <c r="K18" s="23" t="s">
        <v>12</v>
      </c>
      <c r="L18" s="23" t="s">
        <v>13</v>
      </c>
      <c r="M18" s="23" t="s">
        <v>132</v>
      </c>
      <c r="N18" s="23" t="s">
        <v>132</v>
      </c>
    </row>
    <row r="19" spans="2:14" ht="15">
      <c r="B19" s="108" t="s">
        <v>128</v>
      </c>
      <c r="C19" s="46"/>
      <c r="D19" s="46"/>
      <c r="E19" s="46"/>
      <c r="F19" s="46"/>
      <c r="G19" s="46"/>
      <c r="H19" s="88">
        <f>+H20</f>
        <v>302536932</v>
      </c>
      <c r="I19" s="88">
        <f>+I20</f>
        <v>253936052</v>
      </c>
      <c r="J19" s="47"/>
      <c r="K19" s="47"/>
      <c r="L19" s="47"/>
      <c r="M19" s="80"/>
      <c r="N19" s="83">
        <v>420502491</v>
      </c>
    </row>
    <row r="20" spans="2:14" ht="195.75" customHeight="1">
      <c r="B20" s="91">
        <v>15101506</v>
      </c>
      <c r="C20" s="24" t="s">
        <v>258</v>
      </c>
      <c r="D20" s="24" t="s">
        <v>225</v>
      </c>
      <c r="E20" s="24" t="s">
        <v>41</v>
      </c>
      <c r="F20" s="24" t="s">
        <v>42</v>
      </c>
      <c r="G20" s="24" t="s">
        <v>33</v>
      </c>
      <c r="H20" s="119">
        <v>302536932</v>
      </c>
      <c r="I20" s="119">
        <v>253936052</v>
      </c>
      <c r="J20" s="24" t="s">
        <v>43</v>
      </c>
      <c r="K20" s="24" t="s">
        <v>93</v>
      </c>
      <c r="L20" s="24" t="s">
        <v>65</v>
      </c>
      <c r="M20" s="81">
        <f>+I20/I19</f>
        <v>1</v>
      </c>
      <c r="N20" s="81">
        <v>1</v>
      </c>
    </row>
    <row r="21" spans="2:14" ht="15">
      <c r="B21" s="109" t="s">
        <v>143</v>
      </c>
      <c r="C21" s="24"/>
      <c r="D21" s="24"/>
      <c r="E21" s="24"/>
      <c r="F21" s="24"/>
      <c r="G21" s="24"/>
      <c r="H21" s="88">
        <v>1491986135</v>
      </c>
      <c r="I21" s="88">
        <v>1467775112</v>
      </c>
      <c r="J21" s="24"/>
      <c r="K21" s="24"/>
      <c r="L21" s="24"/>
      <c r="M21" s="81"/>
      <c r="N21" s="83">
        <v>140076090</v>
      </c>
    </row>
    <row r="22" spans="2:14" s="96" customFormat="1" ht="60">
      <c r="B22" s="91">
        <v>56101700</v>
      </c>
      <c r="C22" s="93" t="s">
        <v>295</v>
      </c>
      <c r="D22" s="93" t="s">
        <v>220</v>
      </c>
      <c r="E22" s="93" t="s">
        <v>240</v>
      </c>
      <c r="F22" s="93" t="s">
        <v>239</v>
      </c>
      <c r="G22" s="93" t="s">
        <v>33</v>
      </c>
      <c r="H22" s="122">
        <f>0.1418*H21</f>
        <v>211563633.94300002</v>
      </c>
      <c r="I22" s="122">
        <f>0.1418*I21</f>
        <v>208130510.88160002</v>
      </c>
      <c r="J22" s="93" t="s">
        <v>34</v>
      </c>
      <c r="K22" s="93" t="s">
        <v>35</v>
      </c>
      <c r="L22" s="94" t="s">
        <v>65</v>
      </c>
      <c r="M22" s="97">
        <f>+I22/$I$21</f>
        <v>0.1418</v>
      </c>
      <c r="N22" s="95">
        <v>0.5</v>
      </c>
    </row>
    <row r="23" spans="2:14" s="96" customFormat="1" ht="45">
      <c r="B23" s="91" t="s">
        <v>77</v>
      </c>
      <c r="C23" s="102" t="s">
        <v>296</v>
      </c>
      <c r="D23" s="93" t="s">
        <v>221</v>
      </c>
      <c r="E23" s="93" t="s">
        <v>54</v>
      </c>
      <c r="F23" s="93" t="s">
        <v>241</v>
      </c>
      <c r="G23" s="93" t="s">
        <v>33</v>
      </c>
      <c r="H23" s="119">
        <f>0.0638*H21</f>
        <v>95188715.41299999</v>
      </c>
      <c r="I23" s="119">
        <f>0.0638*I21</f>
        <v>93644052.14559999</v>
      </c>
      <c r="J23" s="93" t="s">
        <v>34</v>
      </c>
      <c r="K23" s="93" t="s">
        <v>35</v>
      </c>
      <c r="L23" s="94" t="s">
        <v>65</v>
      </c>
      <c r="M23" s="106">
        <f aca="true" t="shared" si="0" ref="M23:M30">+I23/$I$21</f>
        <v>0.0638</v>
      </c>
      <c r="N23" s="95">
        <v>0.28</v>
      </c>
    </row>
    <row r="24" spans="2:14" s="96" customFormat="1" ht="60">
      <c r="B24" s="91">
        <v>40101604</v>
      </c>
      <c r="C24" s="102" t="s">
        <v>293</v>
      </c>
      <c r="D24" s="93" t="s">
        <v>237</v>
      </c>
      <c r="E24" s="93" t="s">
        <v>248</v>
      </c>
      <c r="F24" s="24" t="s">
        <v>32</v>
      </c>
      <c r="G24" s="93" t="s">
        <v>33</v>
      </c>
      <c r="H24" s="119">
        <f>0.02*H21</f>
        <v>29839722.7</v>
      </c>
      <c r="I24" s="119">
        <f>0.02*I21</f>
        <v>29355502.240000002</v>
      </c>
      <c r="J24" s="93" t="s">
        <v>34</v>
      </c>
      <c r="K24" s="93" t="s">
        <v>35</v>
      </c>
      <c r="L24" s="94"/>
      <c r="M24" s="106">
        <f t="shared" si="0"/>
        <v>0.02</v>
      </c>
      <c r="N24" s="95"/>
    </row>
    <row r="25" spans="2:14" ht="45">
      <c r="B25" s="91">
        <v>56101700</v>
      </c>
      <c r="C25" s="103" t="s">
        <v>294</v>
      </c>
      <c r="D25" s="93" t="s">
        <v>222</v>
      </c>
      <c r="E25" s="93" t="s">
        <v>242</v>
      </c>
      <c r="F25" s="93" t="s">
        <v>42</v>
      </c>
      <c r="G25" s="93" t="s">
        <v>33</v>
      </c>
      <c r="H25" s="121">
        <f>0.2835*H21</f>
        <v>422978069.2725</v>
      </c>
      <c r="I25" s="121">
        <f>0.2835*I21</f>
        <v>416114244.252</v>
      </c>
      <c r="J25" s="93" t="s">
        <v>34</v>
      </c>
      <c r="K25" s="93" t="s">
        <v>35</v>
      </c>
      <c r="L25" s="94" t="s">
        <v>65</v>
      </c>
      <c r="M25" s="106">
        <f t="shared" si="0"/>
        <v>0.2835</v>
      </c>
      <c r="N25" s="48">
        <v>0.22</v>
      </c>
    </row>
    <row r="26" spans="2:14" ht="60">
      <c r="B26" s="91">
        <v>56111511</v>
      </c>
      <c r="C26" s="103" t="s">
        <v>297</v>
      </c>
      <c r="D26" s="93" t="s">
        <v>251</v>
      </c>
      <c r="E26" s="93" t="s">
        <v>230</v>
      </c>
      <c r="F26" s="24" t="s">
        <v>42</v>
      </c>
      <c r="G26" s="93" t="s">
        <v>33</v>
      </c>
      <c r="H26" s="119">
        <f>0.0752*H21</f>
        <v>112197357.352</v>
      </c>
      <c r="I26" s="119">
        <f>0.0752*I21</f>
        <v>110376688.4224</v>
      </c>
      <c r="J26" s="93" t="s">
        <v>34</v>
      </c>
      <c r="K26" s="93" t="s">
        <v>35</v>
      </c>
      <c r="L26" s="94"/>
      <c r="M26" s="106">
        <f t="shared" si="0"/>
        <v>0.0752</v>
      </c>
      <c r="N26" s="48"/>
    </row>
    <row r="27" spans="2:14" ht="60">
      <c r="B27" s="91" t="s">
        <v>315</v>
      </c>
      <c r="C27" s="103" t="s">
        <v>292</v>
      </c>
      <c r="D27" s="93" t="s">
        <v>217</v>
      </c>
      <c r="E27" s="93" t="s">
        <v>227</v>
      </c>
      <c r="F27" s="24" t="s">
        <v>32</v>
      </c>
      <c r="G27" s="93" t="s">
        <v>33</v>
      </c>
      <c r="H27" s="119">
        <f>0.028*H21</f>
        <v>41775611.78</v>
      </c>
      <c r="I27" s="119">
        <f>0.028*I21</f>
        <v>41097703.136</v>
      </c>
      <c r="J27" s="93" t="s">
        <v>34</v>
      </c>
      <c r="K27" s="93" t="s">
        <v>35</v>
      </c>
      <c r="L27" s="94"/>
      <c r="M27" s="106">
        <f t="shared" si="0"/>
        <v>0.028</v>
      </c>
      <c r="N27" s="48"/>
    </row>
    <row r="28" spans="2:14" ht="45">
      <c r="B28" s="91">
        <v>56111506</v>
      </c>
      <c r="C28" s="103" t="s">
        <v>307</v>
      </c>
      <c r="D28" s="93" t="s">
        <v>217</v>
      </c>
      <c r="E28" s="93" t="s">
        <v>227</v>
      </c>
      <c r="F28" s="24" t="s">
        <v>32</v>
      </c>
      <c r="G28" s="24" t="s">
        <v>33</v>
      </c>
      <c r="H28" s="119">
        <f>0.02*H21</f>
        <v>29839722.7</v>
      </c>
      <c r="I28" s="119">
        <f>0.02*I21</f>
        <v>29355502.240000002</v>
      </c>
      <c r="J28" s="93" t="s">
        <v>34</v>
      </c>
      <c r="K28" s="93" t="s">
        <v>35</v>
      </c>
      <c r="L28" s="94"/>
      <c r="M28" s="106">
        <f t="shared" si="0"/>
        <v>0.02</v>
      </c>
      <c r="N28" s="48"/>
    </row>
    <row r="29" spans="2:14" ht="60">
      <c r="B29" s="91">
        <v>56101700</v>
      </c>
      <c r="C29" s="103" t="s">
        <v>298</v>
      </c>
      <c r="D29" s="93" t="s">
        <v>222</v>
      </c>
      <c r="E29" s="93" t="s">
        <v>242</v>
      </c>
      <c r="F29" s="93" t="s">
        <v>42</v>
      </c>
      <c r="G29" s="93" t="s">
        <v>33</v>
      </c>
      <c r="H29" s="121">
        <f>(0.4357-0.098)*H21</f>
        <v>503843717.7895</v>
      </c>
      <c r="I29" s="121">
        <f>(0.4357-0.098)*I21</f>
        <v>495667655.3224</v>
      </c>
      <c r="J29" s="93" t="s">
        <v>34</v>
      </c>
      <c r="K29" s="93" t="s">
        <v>35</v>
      </c>
      <c r="L29" s="94" t="s">
        <v>65</v>
      </c>
      <c r="M29" s="106">
        <f t="shared" si="0"/>
        <v>0.3377</v>
      </c>
      <c r="N29" s="83">
        <f>2143045045-1138637500</f>
        <v>1004407545</v>
      </c>
    </row>
    <row r="30" spans="2:14" ht="45">
      <c r="B30" s="91">
        <v>56112103</v>
      </c>
      <c r="C30" s="103" t="s">
        <v>299</v>
      </c>
      <c r="D30" s="93" t="s">
        <v>222</v>
      </c>
      <c r="E30" s="93" t="s">
        <v>242</v>
      </c>
      <c r="F30" s="93" t="s">
        <v>42</v>
      </c>
      <c r="G30" s="93" t="s">
        <v>33</v>
      </c>
      <c r="H30" s="119">
        <f>0.03*H21</f>
        <v>44759584.05</v>
      </c>
      <c r="I30" s="119">
        <f>0.03*I21</f>
        <v>44033253.36</v>
      </c>
      <c r="J30" s="93" t="s">
        <v>34</v>
      </c>
      <c r="K30" s="93" t="s">
        <v>35</v>
      </c>
      <c r="L30" s="94" t="s">
        <v>65</v>
      </c>
      <c r="M30" s="106">
        <f t="shared" si="0"/>
        <v>0.03</v>
      </c>
      <c r="N30" s="48">
        <v>0.7647972009206531</v>
      </c>
    </row>
    <row r="31" spans="2:14" ht="15">
      <c r="B31" s="110" t="s">
        <v>108</v>
      </c>
      <c r="C31" s="104"/>
      <c r="D31" s="35"/>
      <c r="E31" s="35"/>
      <c r="F31" s="7"/>
      <c r="G31" s="35"/>
      <c r="H31" s="87">
        <v>100537089</v>
      </c>
      <c r="I31" s="87">
        <v>56665669</v>
      </c>
      <c r="J31" s="35"/>
      <c r="K31" s="35"/>
      <c r="L31" s="24"/>
      <c r="M31" s="106" t="s">
        <v>100</v>
      </c>
      <c r="N31" s="48">
        <v>0.05516118309846191</v>
      </c>
    </row>
    <row r="32" spans="2:14" ht="60">
      <c r="B32" s="91" t="s">
        <v>316</v>
      </c>
      <c r="C32" s="93" t="s">
        <v>300</v>
      </c>
      <c r="D32" s="90" t="s">
        <v>226</v>
      </c>
      <c r="E32" s="24" t="s">
        <v>101</v>
      </c>
      <c r="F32" s="24" t="s">
        <v>32</v>
      </c>
      <c r="G32" s="24" t="s">
        <v>33</v>
      </c>
      <c r="H32" s="119">
        <f>0.455*H31</f>
        <v>45744375.495000005</v>
      </c>
      <c r="I32" s="119">
        <f>0.455*I31</f>
        <v>25782879.395</v>
      </c>
      <c r="J32" s="24" t="s">
        <v>34</v>
      </c>
      <c r="K32" s="24" t="s">
        <v>35</v>
      </c>
      <c r="L32" s="24" t="s">
        <v>65</v>
      </c>
      <c r="M32" s="97">
        <f>+I32/$I$31</f>
        <v>0.455</v>
      </c>
      <c r="N32" s="48"/>
    </row>
    <row r="33" spans="2:14" ht="60">
      <c r="B33" s="91">
        <v>53102714</v>
      </c>
      <c r="C33" s="93" t="s">
        <v>290</v>
      </c>
      <c r="D33" s="24" t="s">
        <v>221</v>
      </c>
      <c r="E33" s="24" t="s">
        <v>238</v>
      </c>
      <c r="F33" s="24" t="s">
        <v>32</v>
      </c>
      <c r="G33" s="24" t="s">
        <v>33</v>
      </c>
      <c r="H33" s="119">
        <f>0.2567*H31</f>
        <v>25807870.746299997</v>
      </c>
      <c r="I33" s="119">
        <f>0.2567*I31</f>
        <v>14546077.232299998</v>
      </c>
      <c r="J33" s="24" t="s">
        <v>34</v>
      </c>
      <c r="K33" s="24" t="s">
        <v>35</v>
      </c>
      <c r="L33" s="24" t="s">
        <v>65</v>
      </c>
      <c r="M33" s="106">
        <f>+I33/$I$31</f>
        <v>0.2567</v>
      </c>
      <c r="N33" s="48">
        <v>0.180041615980885</v>
      </c>
    </row>
    <row r="34" spans="2:14" ht="60">
      <c r="B34" s="91" t="s">
        <v>317</v>
      </c>
      <c r="C34" s="93" t="s">
        <v>291</v>
      </c>
      <c r="D34" s="24" t="s">
        <v>220</v>
      </c>
      <c r="E34" s="24" t="s">
        <v>238</v>
      </c>
      <c r="F34" s="24" t="s">
        <v>32</v>
      </c>
      <c r="G34" s="24" t="s">
        <v>33</v>
      </c>
      <c r="H34" s="119">
        <f>0.2883*H31</f>
        <v>28984842.7587</v>
      </c>
      <c r="I34" s="119">
        <f>0.2883*I31</f>
        <v>16336712.3727</v>
      </c>
      <c r="J34" s="24" t="s">
        <v>34</v>
      </c>
      <c r="K34" s="24" t="s">
        <v>35</v>
      </c>
      <c r="L34" s="24" t="s">
        <v>65</v>
      </c>
      <c r="M34" s="106">
        <f>+I34/$I$31</f>
        <v>0.2883</v>
      </c>
      <c r="N34" s="83">
        <v>727900047</v>
      </c>
    </row>
    <row r="35" spans="2:14" ht="15">
      <c r="B35" s="111" t="s">
        <v>109</v>
      </c>
      <c r="C35" s="105"/>
      <c r="D35" s="44"/>
      <c r="E35" s="44"/>
      <c r="F35" s="44"/>
      <c r="G35" s="44"/>
      <c r="H35" s="86">
        <v>2420426910</v>
      </c>
      <c r="I35" s="86">
        <v>2172846886</v>
      </c>
      <c r="J35" s="36"/>
      <c r="K35" s="35"/>
      <c r="L35" s="35"/>
      <c r="M35" s="97"/>
      <c r="N35" s="48">
        <v>0.08416759795065958</v>
      </c>
    </row>
    <row r="36" spans="2:14" ht="60">
      <c r="B36" s="91">
        <v>14111500</v>
      </c>
      <c r="C36" s="24" t="s">
        <v>254</v>
      </c>
      <c r="D36" s="24" t="s">
        <v>218</v>
      </c>
      <c r="E36" s="24" t="s">
        <v>238</v>
      </c>
      <c r="F36" s="24" t="s">
        <v>42</v>
      </c>
      <c r="G36" s="24" t="s">
        <v>33</v>
      </c>
      <c r="H36" s="119">
        <f>0.2363*H35</f>
        <v>571946878.8330001</v>
      </c>
      <c r="I36" s="119">
        <f>0.2363*I35</f>
        <v>513443719.1618</v>
      </c>
      <c r="J36" s="24" t="s">
        <v>34</v>
      </c>
      <c r="K36" s="24" t="s">
        <v>35</v>
      </c>
      <c r="L36" s="24" t="s">
        <v>65</v>
      </c>
      <c r="M36" s="97">
        <f>+I36/$I$35</f>
        <v>0.2363</v>
      </c>
      <c r="N36" s="48">
        <v>0.004965465494969952</v>
      </c>
    </row>
    <row r="37" spans="2:14" ht="75">
      <c r="B37" s="91">
        <v>44103100</v>
      </c>
      <c r="C37" s="24" t="s">
        <v>259</v>
      </c>
      <c r="D37" s="24" t="s">
        <v>221</v>
      </c>
      <c r="E37" s="24" t="s">
        <v>54</v>
      </c>
      <c r="F37" s="24" t="s">
        <v>228</v>
      </c>
      <c r="G37" s="24" t="s">
        <v>33</v>
      </c>
      <c r="H37" s="119">
        <f>0.359*H35</f>
        <v>868933260.6899999</v>
      </c>
      <c r="I37" s="119">
        <f>0.409*I35</f>
        <v>888694376.374</v>
      </c>
      <c r="J37" s="24" t="s">
        <v>34</v>
      </c>
      <c r="K37" s="24" t="s">
        <v>35</v>
      </c>
      <c r="L37" s="24" t="s">
        <v>65</v>
      </c>
      <c r="M37" s="106">
        <f>+I37/$I$35</f>
        <v>0.409</v>
      </c>
      <c r="N37" s="48">
        <v>0.3488045574592817</v>
      </c>
    </row>
    <row r="38" spans="2:14" ht="88.5" customHeight="1">
      <c r="B38" s="91" t="s">
        <v>59</v>
      </c>
      <c r="C38" s="24" t="s">
        <v>260</v>
      </c>
      <c r="D38" s="24" t="s">
        <v>221</v>
      </c>
      <c r="E38" s="24" t="s">
        <v>249</v>
      </c>
      <c r="F38" s="24" t="s">
        <v>42</v>
      </c>
      <c r="G38" s="24" t="s">
        <v>33</v>
      </c>
      <c r="H38" s="119">
        <f>0.4047*H35</f>
        <v>979546770.477</v>
      </c>
      <c r="I38" s="119">
        <f>0.3547*I35</f>
        <v>770708790.4642</v>
      </c>
      <c r="J38" s="24" t="s">
        <v>34</v>
      </c>
      <c r="K38" s="24" t="s">
        <v>35</v>
      </c>
      <c r="L38" s="24" t="s">
        <v>65</v>
      </c>
      <c r="M38" s="106">
        <f>+I38/$I$35</f>
        <v>0.3547</v>
      </c>
      <c r="N38" s="48">
        <v>0.12255293755470814</v>
      </c>
    </row>
    <row r="39" spans="2:14" ht="15">
      <c r="B39" s="112" t="s">
        <v>110</v>
      </c>
      <c r="C39" s="113"/>
      <c r="D39" s="43"/>
      <c r="E39" s="43"/>
      <c r="F39" s="43"/>
      <c r="G39" s="43"/>
      <c r="H39" s="86">
        <v>423846371</v>
      </c>
      <c r="I39" s="86">
        <v>315364043</v>
      </c>
      <c r="J39" s="37"/>
      <c r="K39" s="35"/>
      <c r="L39" s="35"/>
      <c r="M39" s="97"/>
      <c r="N39" s="48">
        <v>0.06417944647517544</v>
      </c>
    </row>
    <row r="40" spans="2:14" ht="75">
      <c r="B40" s="132" t="s">
        <v>318</v>
      </c>
      <c r="C40" s="24" t="s">
        <v>261</v>
      </c>
      <c r="D40" s="24" t="s">
        <v>218</v>
      </c>
      <c r="E40" s="24" t="s">
        <v>229</v>
      </c>
      <c r="F40" s="24" t="s">
        <v>32</v>
      </c>
      <c r="G40" s="24" t="s">
        <v>33</v>
      </c>
      <c r="H40" s="119">
        <f>0.0942*H39</f>
        <v>39926328.148200005</v>
      </c>
      <c r="I40" s="119">
        <f>0.0942*I39</f>
        <v>29707292.8506</v>
      </c>
      <c r="J40" s="24" t="s">
        <v>34</v>
      </c>
      <c r="K40" s="24" t="s">
        <v>35</v>
      </c>
      <c r="L40" s="24" t="s">
        <v>65</v>
      </c>
      <c r="M40" s="97">
        <f>+I40/$I$39</f>
        <v>0.0942</v>
      </c>
      <c r="N40" s="48">
        <v>0.13546165834468782</v>
      </c>
    </row>
    <row r="41" spans="2:14" ht="75">
      <c r="B41" s="91">
        <v>55121719</v>
      </c>
      <c r="C41" s="24" t="s">
        <v>262</v>
      </c>
      <c r="D41" s="24" t="s">
        <v>221</v>
      </c>
      <c r="E41" s="24" t="s">
        <v>230</v>
      </c>
      <c r="F41" s="24" t="s">
        <v>32</v>
      </c>
      <c r="G41" s="24" t="s">
        <v>33</v>
      </c>
      <c r="H41" s="119">
        <f>0.0462*H39</f>
        <v>19581702.3402</v>
      </c>
      <c r="I41" s="119">
        <f>0.0462*I39</f>
        <v>14569818.7866</v>
      </c>
      <c r="J41" s="24" t="s">
        <v>34</v>
      </c>
      <c r="K41" s="24" t="s">
        <v>35</v>
      </c>
      <c r="L41" s="24" t="s">
        <v>65</v>
      </c>
      <c r="M41" s="106">
        <f aca="true" t="shared" si="1" ref="M41:M47">+I41/$I$39</f>
        <v>0.0462</v>
      </c>
      <c r="N41" s="48">
        <v>0.03406546400380067</v>
      </c>
    </row>
    <row r="42" spans="2:14" ht="60">
      <c r="B42" s="91">
        <v>72153608</v>
      </c>
      <c r="C42" s="24" t="s">
        <v>257</v>
      </c>
      <c r="D42" s="24" t="s">
        <v>220</v>
      </c>
      <c r="E42" s="24" t="s">
        <v>83</v>
      </c>
      <c r="F42" s="24" t="s">
        <v>32</v>
      </c>
      <c r="G42" s="24" t="s">
        <v>33</v>
      </c>
      <c r="H42" s="119">
        <f>0.1393*H39</f>
        <v>59041799.4803</v>
      </c>
      <c r="I42" s="119">
        <f>0.1393*I39</f>
        <v>43930211.1899</v>
      </c>
      <c r="J42" s="24" t="s">
        <v>34</v>
      </c>
      <c r="K42" s="24" t="s">
        <v>35</v>
      </c>
      <c r="L42" s="24" t="s">
        <v>65</v>
      </c>
      <c r="M42" s="106">
        <f t="shared" si="1"/>
        <v>0.1393</v>
      </c>
      <c r="N42" s="48">
        <v>0.054162835964271586</v>
      </c>
    </row>
    <row r="43" spans="2:14" ht="60">
      <c r="B43" s="91" t="s">
        <v>58</v>
      </c>
      <c r="C43" s="24" t="s">
        <v>289</v>
      </c>
      <c r="D43" s="24" t="s">
        <v>220</v>
      </c>
      <c r="E43" s="24" t="s">
        <v>38</v>
      </c>
      <c r="F43" s="24" t="s">
        <v>32</v>
      </c>
      <c r="G43" s="24" t="s">
        <v>33</v>
      </c>
      <c r="H43" s="119">
        <f>0.2993*H39</f>
        <v>126857218.84030001</v>
      </c>
      <c r="I43" s="119">
        <f>0.2993*I39</f>
        <v>94388458.0699</v>
      </c>
      <c r="J43" s="24" t="s">
        <v>34</v>
      </c>
      <c r="K43" s="24" t="s">
        <v>35</v>
      </c>
      <c r="L43" s="24" t="s">
        <v>65</v>
      </c>
      <c r="M43" s="106">
        <f t="shared" si="1"/>
        <v>0.2993</v>
      </c>
      <c r="N43" s="48">
        <v>0.015937059835048804</v>
      </c>
    </row>
    <row r="44" spans="2:14" ht="75">
      <c r="B44" s="132" t="s">
        <v>319</v>
      </c>
      <c r="C44" s="93" t="s">
        <v>263</v>
      </c>
      <c r="D44" s="24" t="s">
        <v>220</v>
      </c>
      <c r="E44" s="24" t="s">
        <v>238</v>
      </c>
      <c r="F44" s="24" t="s">
        <v>32</v>
      </c>
      <c r="G44" s="24" t="s">
        <v>33</v>
      </c>
      <c r="H44" s="119">
        <f>0.02*H39</f>
        <v>8476927.42</v>
      </c>
      <c r="I44" s="119">
        <f>0.02*I39</f>
        <v>6307280.86</v>
      </c>
      <c r="J44" s="24" t="s">
        <v>34</v>
      </c>
      <c r="K44" s="24" t="s">
        <v>35</v>
      </c>
      <c r="L44" s="24" t="s">
        <v>65</v>
      </c>
      <c r="M44" s="106">
        <f t="shared" si="1"/>
        <v>0.02</v>
      </c>
      <c r="N44" s="83">
        <v>760915691</v>
      </c>
    </row>
    <row r="45" spans="2:14" ht="90">
      <c r="B45" s="132" t="s">
        <v>320</v>
      </c>
      <c r="C45" s="24" t="s">
        <v>264</v>
      </c>
      <c r="D45" s="24" t="s">
        <v>222</v>
      </c>
      <c r="E45" s="24" t="s">
        <v>238</v>
      </c>
      <c r="F45" s="24" t="s">
        <v>32</v>
      </c>
      <c r="G45" s="24" t="s">
        <v>33</v>
      </c>
      <c r="H45" s="119">
        <f>0.021*H39</f>
        <v>8900773.791000001</v>
      </c>
      <c r="I45" s="119">
        <f>0.021*I39</f>
        <v>6622644.903000001</v>
      </c>
      <c r="J45" s="24" t="s">
        <v>34</v>
      </c>
      <c r="K45" s="24" t="s">
        <v>35</v>
      </c>
      <c r="L45" s="24" t="s">
        <v>65</v>
      </c>
      <c r="M45" s="106">
        <f t="shared" si="1"/>
        <v>0.021</v>
      </c>
      <c r="N45" s="48">
        <v>0.3006650529103212</v>
      </c>
    </row>
    <row r="46" spans="2:14" ht="135">
      <c r="B46" s="132" t="s">
        <v>321</v>
      </c>
      <c r="C46" s="24" t="s">
        <v>265</v>
      </c>
      <c r="D46" s="24" t="s">
        <v>217</v>
      </c>
      <c r="E46" s="24" t="s">
        <v>238</v>
      </c>
      <c r="F46" s="24" t="s">
        <v>32</v>
      </c>
      <c r="G46" s="24" t="s">
        <v>33</v>
      </c>
      <c r="H46" s="119">
        <f>0.2968*H39</f>
        <v>125797602.9128</v>
      </c>
      <c r="I46" s="119">
        <f>0.2968*I39</f>
        <v>93600047.9624</v>
      </c>
      <c r="J46" s="24" t="s">
        <v>34</v>
      </c>
      <c r="K46" s="24" t="s">
        <v>35</v>
      </c>
      <c r="L46" s="24" t="s">
        <v>65</v>
      </c>
      <c r="M46" s="106">
        <f t="shared" si="1"/>
        <v>0.2968</v>
      </c>
      <c r="N46" s="48"/>
    </row>
    <row r="47" spans="2:14" ht="60">
      <c r="B47" s="132" t="s">
        <v>322</v>
      </c>
      <c r="C47" s="24" t="s">
        <v>268</v>
      </c>
      <c r="D47" s="24" t="s">
        <v>216</v>
      </c>
      <c r="E47" s="24" t="s">
        <v>238</v>
      </c>
      <c r="F47" s="24" t="s">
        <v>32</v>
      </c>
      <c r="G47" s="24" t="s">
        <v>33</v>
      </c>
      <c r="H47" s="119">
        <f>0.0832*H39</f>
        <v>35264018.0672</v>
      </c>
      <c r="I47" s="119">
        <f>0.0832*I39</f>
        <v>26238288.3776</v>
      </c>
      <c r="J47" s="24" t="s">
        <v>34</v>
      </c>
      <c r="K47" s="24" t="s">
        <v>35</v>
      </c>
      <c r="L47" s="24" t="s">
        <v>65</v>
      </c>
      <c r="M47" s="106">
        <f t="shared" si="1"/>
        <v>0.0832</v>
      </c>
      <c r="N47" s="48">
        <v>0.036419253450331826</v>
      </c>
    </row>
    <row r="48" spans="2:15" ht="15">
      <c r="B48" s="92" t="s">
        <v>111</v>
      </c>
      <c r="C48" s="116"/>
      <c r="D48" s="43"/>
      <c r="E48" s="43"/>
      <c r="F48" s="43"/>
      <c r="G48" s="43"/>
      <c r="H48" s="89">
        <v>649730872</v>
      </c>
      <c r="I48" s="89">
        <v>648789573</v>
      </c>
      <c r="J48" s="39"/>
      <c r="K48" s="24"/>
      <c r="L48" s="24"/>
      <c r="M48" s="106" t="s">
        <v>100</v>
      </c>
      <c r="N48" s="48">
        <v>0.03804277435416423</v>
      </c>
      <c r="O48" s="124"/>
    </row>
    <row r="49" spans="2:14" ht="75">
      <c r="B49" s="132">
        <v>72101506</v>
      </c>
      <c r="C49" s="24" t="s">
        <v>266</v>
      </c>
      <c r="D49" s="24" t="s">
        <v>216</v>
      </c>
      <c r="E49" s="24" t="s">
        <v>101</v>
      </c>
      <c r="F49" s="24" t="s">
        <v>39</v>
      </c>
      <c r="G49" s="24" t="s">
        <v>33</v>
      </c>
      <c r="H49" s="119">
        <f>0.2654*H48</f>
        <v>172438573.42880002</v>
      </c>
      <c r="I49" s="119">
        <f>0.2654*I48</f>
        <v>172188752.67420003</v>
      </c>
      <c r="J49" s="24" t="s">
        <v>40</v>
      </c>
      <c r="K49" s="24" t="s">
        <v>93</v>
      </c>
      <c r="L49" s="24" t="s">
        <v>65</v>
      </c>
      <c r="M49" s="97">
        <f>+I49/$I$48</f>
        <v>0.2654</v>
      </c>
      <c r="N49" s="48">
        <v>0.0077831534191699575</v>
      </c>
    </row>
    <row r="50" spans="2:14" ht="75">
      <c r="B50" s="91">
        <v>72101506</v>
      </c>
      <c r="C50" s="24" t="s">
        <v>272</v>
      </c>
      <c r="D50" s="24" t="s">
        <v>215</v>
      </c>
      <c r="E50" s="24" t="s">
        <v>231</v>
      </c>
      <c r="F50" s="24" t="s">
        <v>39</v>
      </c>
      <c r="G50" s="24" t="s">
        <v>33</v>
      </c>
      <c r="H50" s="119">
        <f>0.043*H48</f>
        <v>27938427.496</v>
      </c>
      <c r="I50" s="119">
        <f>0.043*I48</f>
        <v>27897951.639</v>
      </c>
      <c r="J50" s="24" t="s">
        <v>34</v>
      </c>
      <c r="K50" s="24" t="s">
        <v>35</v>
      </c>
      <c r="L50" s="24" t="s">
        <v>65</v>
      </c>
      <c r="M50" s="106">
        <f aca="true" t="shared" si="2" ref="M50:M56">+I50/$I$48</f>
        <v>0.043</v>
      </c>
      <c r="N50" s="48"/>
    </row>
    <row r="51" spans="2:14" ht="90">
      <c r="B51" s="91">
        <v>72101506</v>
      </c>
      <c r="C51" s="24" t="s">
        <v>267</v>
      </c>
      <c r="D51" s="24" t="s">
        <v>215</v>
      </c>
      <c r="E51" s="24" t="s">
        <v>231</v>
      </c>
      <c r="F51" s="24" t="s">
        <v>39</v>
      </c>
      <c r="G51" s="24" t="s">
        <v>33</v>
      </c>
      <c r="H51" s="119">
        <f>0.0814*H48</f>
        <v>52888092.9808</v>
      </c>
      <c r="I51" s="119">
        <f>0.0814*I48</f>
        <v>52811471.2422</v>
      </c>
      <c r="J51" s="24" t="s">
        <v>34</v>
      </c>
      <c r="K51" s="24" t="s">
        <v>35</v>
      </c>
      <c r="L51" s="24" t="s">
        <v>65</v>
      </c>
      <c r="M51" s="106">
        <f t="shared" si="2"/>
        <v>0.0814</v>
      </c>
      <c r="N51" s="48">
        <v>0.052976920075539294</v>
      </c>
    </row>
    <row r="52" spans="2:14" ht="75">
      <c r="B52" s="91">
        <v>72101506</v>
      </c>
      <c r="C52" s="24" t="s">
        <v>287</v>
      </c>
      <c r="D52" s="24" t="s">
        <v>216</v>
      </c>
      <c r="E52" s="24" t="s">
        <v>101</v>
      </c>
      <c r="F52" s="24" t="s">
        <v>39</v>
      </c>
      <c r="G52" s="24" t="s">
        <v>33</v>
      </c>
      <c r="H52" s="119">
        <f>0.4639*H48</f>
        <v>301410151.5208</v>
      </c>
      <c r="I52" s="119">
        <f>0.4639*I48</f>
        <v>300973482.9147</v>
      </c>
      <c r="J52" s="24" t="s">
        <v>40</v>
      </c>
      <c r="K52" s="24" t="s">
        <v>93</v>
      </c>
      <c r="L52" s="24" t="s">
        <v>65</v>
      </c>
      <c r="M52" s="106">
        <f t="shared" si="2"/>
        <v>0.4639</v>
      </c>
      <c r="N52" s="48">
        <v>0.010550514517655589</v>
      </c>
    </row>
    <row r="53" spans="2:14" ht="90">
      <c r="B53" s="91">
        <v>72101506</v>
      </c>
      <c r="C53" s="24" t="s">
        <v>308</v>
      </c>
      <c r="D53" s="24" t="s">
        <v>216</v>
      </c>
      <c r="E53" s="24" t="s">
        <v>101</v>
      </c>
      <c r="F53" s="24" t="s">
        <v>39</v>
      </c>
      <c r="G53" s="24" t="s">
        <v>33</v>
      </c>
      <c r="H53" s="119">
        <f>0.052*H48</f>
        <v>33786005.344</v>
      </c>
      <c r="I53" s="119">
        <f>0.052*I48</f>
        <v>33737057.796</v>
      </c>
      <c r="J53" s="24" t="s">
        <v>40</v>
      </c>
      <c r="K53" s="24" t="s">
        <v>93</v>
      </c>
      <c r="L53" s="24" t="s">
        <v>65</v>
      </c>
      <c r="M53" s="106">
        <f t="shared" si="2"/>
        <v>0.052</v>
      </c>
      <c r="N53" s="83">
        <v>1167223886</v>
      </c>
    </row>
    <row r="54" spans="2:14" ht="60">
      <c r="B54" s="91">
        <v>72101506</v>
      </c>
      <c r="C54" s="24" t="s">
        <v>271</v>
      </c>
      <c r="D54" s="24" t="s">
        <v>216</v>
      </c>
      <c r="E54" s="24" t="s">
        <v>101</v>
      </c>
      <c r="F54" s="24" t="s">
        <v>39</v>
      </c>
      <c r="G54" s="24" t="s">
        <v>33</v>
      </c>
      <c r="H54" s="119">
        <f>0.0276*H48</f>
        <v>17932572.0672</v>
      </c>
      <c r="I54" s="119">
        <f>0.0276*I48</f>
        <v>17906592.2148</v>
      </c>
      <c r="J54" s="24" t="s">
        <v>40</v>
      </c>
      <c r="K54" s="24" t="s">
        <v>93</v>
      </c>
      <c r="L54" s="24" t="s">
        <v>65</v>
      </c>
      <c r="M54" s="106">
        <f t="shared" si="2"/>
        <v>0.0276</v>
      </c>
      <c r="N54" s="48"/>
    </row>
    <row r="55" spans="2:14" ht="60">
      <c r="B55" s="91">
        <v>72101506</v>
      </c>
      <c r="C55" s="24" t="s">
        <v>270</v>
      </c>
      <c r="D55" s="24" t="s">
        <v>216</v>
      </c>
      <c r="E55" s="24" t="s">
        <v>101</v>
      </c>
      <c r="F55" s="24" t="s">
        <v>39</v>
      </c>
      <c r="G55" s="24" t="s">
        <v>33</v>
      </c>
      <c r="H55" s="119">
        <f>0.0107*H48</f>
        <v>6952120.330399999</v>
      </c>
      <c r="I55" s="119">
        <f>0.0107*I48</f>
        <v>6942048.4311</v>
      </c>
      <c r="J55" s="24" t="s">
        <v>40</v>
      </c>
      <c r="K55" s="24" t="s">
        <v>93</v>
      </c>
      <c r="L55" s="24" t="s">
        <v>65</v>
      </c>
      <c r="M55" s="106">
        <f t="shared" si="2"/>
        <v>0.0107</v>
      </c>
      <c r="N55" s="48"/>
    </row>
    <row r="56" spans="2:14" ht="75">
      <c r="B56" s="91" t="s">
        <v>323</v>
      </c>
      <c r="C56" s="24" t="s">
        <v>269</v>
      </c>
      <c r="D56" s="24" t="s">
        <v>216</v>
      </c>
      <c r="E56" s="24" t="s">
        <v>101</v>
      </c>
      <c r="F56" s="24" t="s">
        <v>32</v>
      </c>
      <c r="G56" s="24" t="s">
        <v>33</v>
      </c>
      <c r="H56" s="119">
        <f>0.056*H48</f>
        <v>36384928.832</v>
      </c>
      <c r="I56" s="119">
        <f>0.056*I48</f>
        <v>36332216.088</v>
      </c>
      <c r="J56" s="24" t="s">
        <v>34</v>
      </c>
      <c r="K56" s="24" t="s">
        <v>35</v>
      </c>
      <c r="L56" s="24" t="s">
        <v>65</v>
      </c>
      <c r="M56" s="106">
        <f t="shared" si="2"/>
        <v>0.056</v>
      </c>
      <c r="N56" s="48"/>
    </row>
    <row r="57" spans="2:15" ht="15">
      <c r="B57" s="92" t="s">
        <v>112</v>
      </c>
      <c r="C57" s="114"/>
      <c r="D57" s="43"/>
      <c r="E57" s="43"/>
      <c r="F57" s="43"/>
      <c r="G57" s="43"/>
      <c r="H57" s="87">
        <v>1134195833</v>
      </c>
      <c r="I57" s="87">
        <v>961670100</v>
      </c>
      <c r="J57" s="39"/>
      <c r="K57" s="24"/>
      <c r="L57" s="24"/>
      <c r="M57" s="106" t="s">
        <v>100</v>
      </c>
      <c r="N57" s="48">
        <v>0.246435831875228</v>
      </c>
      <c r="O57" s="123"/>
    </row>
    <row r="58" spans="2:14" ht="90">
      <c r="B58" s="91">
        <v>72151207</v>
      </c>
      <c r="C58" s="24" t="s">
        <v>288</v>
      </c>
      <c r="D58" s="24" t="s">
        <v>216</v>
      </c>
      <c r="E58" s="24" t="s">
        <v>101</v>
      </c>
      <c r="F58" s="24" t="s">
        <v>42</v>
      </c>
      <c r="G58" s="24" t="s">
        <v>33</v>
      </c>
      <c r="H58" s="119">
        <f>0.1843*H57</f>
        <v>209032292.0219</v>
      </c>
      <c r="I58" s="119">
        <f>0.1843*I57</f>
        <v>177235799.42999998</v>
      </c>
      <c r="J58" s="24" t="s">
        <v>43</v>
      </c>
      <c r="K58" s="24" t="s">
        <v>93</v>
      </c>
      <c r="L58" s="24" t="s">
        <v>65</v>
      </c>
      <c r="M58" s="97">
        <f>+I58/$I$57</f>
        <v>0.18429999999999996</v>
      </c>
      <c r="N58" s="48">
        <v>0.05709849667510233</v>
      </c>
    </row>
    <row r="59" spans="2:14" ht="60">
      <c r="B59" s="132">
        <v>81112200</v>
      </c>
      <c r="C59" s="24" t="s">
        <v>273</v>
      </c>
      <c r="D59" s="24" t="s">
        <v>215</v>
      </c>
      <c r="E59" s="24" t="s">
        <v>233</v>
      </c>
      <c r="F59" s="24" t="s">
        <v>103</v>
      </c>
      <c r="G59" s="24" t="s">
        <v>33</v>
      </c>
      <c r="H59" s="119">
        <f>0.0419*H57</f>
        <v>47522805.4027</v>
      </c>
      <c r="I59" s="119">
        <f>0.0419*I57</f>
        <v>40293977.19</v>
      </c>
      <c r="J59" s="24" t="s">
        <v>34</v>
      </c>
      <c r="K59" s="24" t="s">
        <v>35</v>
      </c>
      <c r="L59" s="24" t="s">
        <v>65</v>
      </c>
      <c r="M59" s="106">
        <f aca="true" t="shared" si="3" ref="M59:M67">+I59/$I$57</f>
        <v>0.0419</v>
      </c>
      <c r="N59" s="48">
        <v>0.07686031504630854</v>
      </c>
    </row>
    <row r="60" spans="2:14" ht="75">
      <c r="B60" s="132">
        <v>30171504</v>
      </c>
      <c r="C60" s="24" t="s">
        <v>301</v>
      </c>
      <c r="D60" s="24" t="s">
        <v>237</v>
      </c>
      <c r="E60" s="24" t="s">
        <v>238</v>
      </c>
      <c r="F60" s="24" t="s">
        <v>103</v>
      </c>
      <c r="G60" s="24" t="s">
        <v>33</v>
      </c>
      <c r="H60" s="119">
        <f>0.0155*H57</f>
        <v>17580035.4115</v>
      </c>
      <c r="I60" s="119">
        <f>0.0155*I57</f>
        <v>14905886.55</v>
      </c>
      <c r="J60" s="24" t="s">
        <v>34</v>
      </c>
      <c r="K60" s="24" t="s">
        <v>35</v>
      </c>
      <c r="L60" s="24" t="s">
        <v>65</v>
      </c>
      <c r="M60" s="106">
        <f t="shared" si="3"/>
        <v>0.015500000000000002</v>
      </c>
      <c r="N60" s="48">
        <v>0.08153854552598928</v>
      </c>
    </row>
    <row r="61" spans="2:14" ht="75">
      <c r="B61" s="91" t="s">
        <v>73</v>
      </c>
      <c r="C61" s="24" t="s">
        <v>255</v>
      </c>
      <c r="D61" s="24" t="s">
        <v>216</v>
      </c>
      <c r="E61" s="24" t="s">
        <v>101</v>
      </c>
      <c r="F61" s="24" t="s">
        <v>42</v>
      </c>
      <c r="G61" s="24" t="s">
        <v>33</v>
      </c>
      <c r="H61" s="119">
        <f>0.2708*H57</f>
        <v>307140231.5764</v>
      </c>
      <c r="I61" s="119">
        <f>0.2708*I57</f>
        <v>260420263.07999998</v>
      </c>
      <c r="J61" s="24" t="s">
        <v>236</v>
      </c>
      <c r="K61" s="24" t="s">
        <v>93</v>
      </c>
      <c r="L61" s="24" t="s">
        <v>65</v>
      </c>
      <c r="M61" s="106">
        <f t="shared" si="3"/>
        <v>0.2708</v>
      </c>
      <c r="N61" s="48">
        <v>0.03173928705398646</v>
      </c>
    </row>
    <row r="62" spans="2:14" ht="90">
      <c r="B62" s="91">
        <v>72102900</v>
      </c>
      <c r="C62" s="24" t="s">
        <v>274</v>
      </c>
      <c r="D62" s="24" t="s">
        <v>216</v>
      </c>
      <c r="E62" s="24" t="s">
        <v>101</v>
      </c>
      <c r="F62" s="24" t="s">
        <v>32</v>
      </c>
      <c r="G62" s="24" t="s">
        <v>33</v>
      </c>
      <c r="H62" s="119">
        <f>0.0404*H57</f>
        <v>45821511.6532</v>
      </c>
      <c r="I62" s="119">
        <f>0.0404*I57</f>
        <v>38851472.04</v>
      </c>
      <c r="J62" s="24" t="s">
        <v>43</v>
      </c>
      <c r="K62" s="24" t="s">
        <v>93</v>
      </c>
      <c r="L62" s="24" t="s">
        <v>65</v>
      </c>
      <c r="M62" s="106">
        <f t="shared" si="3"/>
        <v>0.0404</v>
      </c>
      <c r="N62" s="83">
        <v>926367596</v>
      </c>
    </row>
    <row r="63" spans="2:14" ht="105">
      <c r="B63" s="91">
        <v>72154066</v>
      </c>
      <c r="C63" s="24" t="s">
        <v>275</v>
      </c>
      <c r="D63" s="24" t="s">
        <v>216</v>
      </c>
      <c r="E63" s="24" t="s">
        <v>101</v>
      </c>
      <c r="F63" s="24" t="s">
        <v>39</v>
      </c>
      <c r="G63" s="24" t="s">
        <v>33</v>
      </c>
      <c r="H63" s="119">
        <f>0.0943*H57</f>
        <v>106954667.0519</v>
      </c>
      <c r="I63" s="119">
        <f>0.0943*I57</f>
        <v>90685490.42999999</v>
      </c>
      <c r="J63" s="24" t="s">
        <v>40</v>
      </c>
      <c r="K63" s="24" t="s">
        <v>93</v>
      </c>
      <c r="L63" s="24" t="s">
        <v>65</v>
      </c>
      <c r="M63" s="106">
        <f t="shared" si="3"/>
        <v>0.0943</v>
      </c>
      <c r="N63" s="48">
        <v>0.7868440973256179</v>
      </c>
    </row>
    <row r="64" spans="2:14" ht="135">
      <c r="B64" s="91">
        <v>72154066</v>
      </c>
      <c r="C64" s="24" t="s">
        <v>276</v>
      </c>
      <c r="D64" s="24" t="s">
        <v>216</v>
      </c>
      <c r="E64" s="24" t="s">
        <v>101</v>
      </c>
      <c r="F64" s="24" t="s">
        <v>32</v>
      </c>
      <c r="G64" s="24" t="s">
        <v>33</v>
      </c>
      <c r="H64" s="119">
        <f>0.0632*H57</f>
        <v>71681176.6456</v>
      </c>
      <c r="I64" s="119">
        <f>0.0632*I57</f>
        <v>60777550.32000001</v>
      </c>
      <c r="J64" s="24" t="s">
        <v>43</v>
      </c>
      <c r="K64" s="24" t="s">
        <v>93</v>
      </c>
      <c r="L64" s="24" t="s">
        <v>65</v>
      </c>
      <c r="M64" s="106">
        <f t="shared" si="3"/>
        <v>0.0632</v>
      </c>
      <c r="N64" s="48">
        <v>0.21315590267438211</v>
      </c>
    </row>
    <row r="65" spans="2:14" ht="90">
      <c r="B65" s="91">
        <v>72102900</v>
      </c>
      <c r="C65" s="24" t="s">
        <v>277</v>
      </c>
      <c r="D65" s="24" t="s">
        <v>216</v>
      </c>
      <c r="E65" s="24" t="s">
        <v>101</v>
      </c>
      <c r="F65" s="24" t="s">
        <v>32</v>
      </c>
      <c r="G65" s="24" t="s">
        <v>33</v>
      </c>
      <c r="H65" s="119">
        <f>0.0707*H57</f>
        <v>80187645.3931</v>
      </c>
      <c r="I65" s="119">
        <f>0.0707*I57</f>
        <v>67990076.07</v>
      </c>
      <c r="J65" s="24" t="s">
        <v>43</v>
      </c>
      <c r="K65" s="24" t="s">
        <v>93</v>
      </c>
      <c r="L65" s="24" t="s">
        <v>65</v>
      </c>
      <c r="M65" s="106">
        <f t="shared" si="3"/>
        <v>0.0707</v>
      </c>
      <c r="N65" s="83">
        <v>7725375814</v>
      </c>
    </row>
    <row r="66" spans="2:14" ht="120">
      <c r="B66" s="91" t="s">
        <v>324</v>
      </c>
      <c r="C66" s="24" t="s">
        <v>309</v>
      </c>
      <c r="D66" s="24" t="s">
        <v>216</v>
      </c>
      <c r="E66" s="24" t="s">
        <v>101</v>
      </c>
      <c r="F66" s="24" t="s">
        <v>42</v>
      </c>
      <c r="G66" s="24" t="s">
        <v>33</v>
      </c>
      <c r="H66" s="119">
        <f>0.1733*H57</f>
        <v>196556137.8589</v>
      </c>
      <c r="I66" s="119">
        <f>0.1733*I57</f>
        <v>166657428.33</v>
      </c>
      <c r="J66" s="24" t="s">
        <v>43</v>
      </c>
      <c r="K66" s="24" t="s">
        <v>93</v>
      </c>
      <c r="L66" s="24" t="s">
        <v>65</v>
      </c>
      <c r="M66" s="106">
        <f t="shared" si="3"/>
        <v>0.1733</v>
      </c>
      <c r="N66" s="48">
        <v>1</v>
      </c>
    </row>
    <row r="67" spans="2:14" ht="120">
      <c r="B67" s="91" t="s">
        <v>206</v>
      </c>
      <c r="C67" s="24" t="s">
        <v>310</v>
      </c>
      <c r="D67" s="24" t="s">
        <v>219</v>
      </c>
      <c r="E67" s="24" t="s">
        <v>238</v>
      </c>
      <c r="F67" s="24" t="s">
        <v>32</v>
      </c>
      <c r="G67" s="24" t="s">
        <v>33</v>
      </c>
      <c r="H67" s="119">
        <f>0.0456*H57</f>
        <v>51719329.9848</v>
      </c>
      <c r="I67" s="119">
        <f>0.0456*I57</f>
        <v>43852156.56</v>
      </c>
      <c r="J67" s="24" t="s">
        <v>34</v>
      </c>
      <c r="K67" s="24" t="s">
        <v>35</v>
      </c>
      <c r="L67" s="24" t="s">
        <v>65</v>
      </c>
      <c r="M67" s="106">
        <f t="shared" si="3"/>
        <v>0.0456</v>
      </c>
      <c r="N67" s="83">
        <v>10726065367</v>
      </c>
    </row>
    <row r="68" spans="2:14" ht="15">
      <c r="B68" s="92" t="s">
        <v>113</v>
      </c>
      <c r="C68" s="114"/>
      <c r="D68" s="43"/>
      <c r="E68" s="43"/>
      <c r="F68" s="43"/>
      <c r="G68" s="43"/>
      <c r="H68" s="87">
        <v>958147927</v>
      </c>
      <c r="I68" s="87">
        <v>890894423</v>
      </c>
      <c r="J68" s="24"/>
      <c r="K68" s="24"/>
      <c r="L68" s="24"/>
      <c r="M68" s="106" t="s">
        <v>100</v>
      </c>
      <c r="N68" s="48">
        <v>0.5349879696333197</v>
      </c>
    </row>
    <row r="69" spans="2:14" ht="120">
      <c r="B69" s="91">
        <v>78181500</v>
      </c>
      <c r="C69" s="24" t="s">
        <v>311</v>
      </c>
      <c r="D69" s="24" t="s">
        <v>225</v>
      </c>
      <c r="E69" s="24" t="s">
        <v>101</v>
      </c>
      <c r="F69" s="24" t="s">
        <v>42</v>
      </c>
      <c r="G69" s="24" t="s">
        <v>33</v>
      </c>
      <c r="H69" s="119">
        <f>0.8049*H68</f>
        <v>771213266.4423</v>
      </c>
      <c r="I69" s="119">
        <f>0.8049*I68</f>
        <v>717080921.0726999</v>
      </c>
      <c r="J69" s="24" t="s">
        <v>43</v>
      </c>
      <c r="K69" s="24" t="s">
        <v>93</v>
      </c>
      <c r="L69" s="24" t="s">
        <v>65</v>
      </c>
      <c r="M69" s="97">
        <f>+I69/$I$68</f>
        <v>0.8048999999999998</v>
      </c>
      <c r="N69" s="48">
        <v>0.4608514025653864</v>
      </c>
    </row>
    <row r="70" spans="2:14" ht="75">
      <c r="B70" s="91">
        <v>78181500</v>
      </c>
      <c r="C70" s="24" t="s">
        <v>278</v>
      </c>
      <c r="D70" s="24" t="s">
        <v>225</v>
      </c>
      <c r="E70" s="24" t="s">
        <v>101</v>
      </c>
      <c r="F70" s="24" t="s">
        <v>42</v>
      </c>
      <c r="G70" s="24" t="s">
        <v>33</v>
      </c>
      <c r="H70" s="119">
        <f>0.1951*H68</f>
        <v>186934660.5577</v>
      </c>
      <c r="I70" s="119">
        <f>0.1951*I68</f>
        <v>173813501.9273</v>
      </c>
      <c r="J70" s="24" t="s">
        <v>43</v>
      </c>
      <c r="K70" s="24" t="s">
        <v>93</v>
      </c>
      <c r="L70" s="24" t="s">
        <v>65</v>
      </c>
      <c r="M70" s="106">
        <f>+I70/$I$68</f>
        <v>0.1951</v>
      </c>
      <c r="N70" s="48">
        <v>0.004160627801293794</v>
      </c>
    </row>
    <row r="71" spans="2:14" ht="15">
      <c r="B71" s="110" t="s">
        <v>114</v>
      </c>
      <c r="C71" s="82"/>
      <c r="D71" s="35"/>
      <c r="E71" s="35"/>
      <c r="F71" s="35"/>
      <c r="G71" s="35"/>
      <c r="H71" s="87">
        <f>SUM(H72)</f>
        <v>6738599997</v>
      </c>
      <c r="I71" s="87">
        <f>SUM(I72)</f>
        <v>6051314284</v>
      </c>
      <c r="J71" s="24"/>
      <c r="K71" s="24"/>
      <c r="L71" s="24"/>
      <c r="M71" s="106" t="s">
        <v>100</v>
      </c>
      <c r="N71" s="83">
        <v>361774410</v>
      </c>
    </row>
    <row r="72" spans="2:14" ht="165">
      <c r="B72" s="91">
        <v>76111500</v>
      </c>
      <c r="C72" s="24" t="s">
        <v>312</v>
      </c>
      <c r="D72" s="24" t="s">
        <v>225</v>
      </c>
      <c r="E72" s="24" t="s">
        <v>101</v>
      </c>
      <c r="F72" s="24" t="s">
        <v>45</v>
      </c>
      <c r="G72" s="24" t="s">
        <v>33</v>
      </c>
      <c r="H72" s="119">
        <v>6738599997</v>
      </c>
      <c r="I72" s="119">
        <v>6051314284</v>
      </c>
      <c r="J72" s="24" t="s">
        <v>43</v>
      </c>
      <c r="K72" s="24" t="s">
        <v>93</v>
      </c>
      <c r="L72" s="24" t="s">
        <v>65</v>
      </c>
      <c r="M72" s="97">
        <f>+I72/I71</f>
        <v>1</v>
      </c>
      <c r="N72" s="48">
        <v>0.8242820076128828</v>
      </c>
    </row>
    <row r="73" spans="2:14" ht="15">
      <c r="B73" s="92" t="s">
        <v>115</v>
      </c>
      <c r="C73" s="114"/>
      <c r="D73" s="43"/>
      <c r="E73" s="43"/>
      <c r="F73" s="43"/>
      <c r="G73" s="43"/>
      <c r="H73" s="87">
        <v>10181459779</v>
      </c>
      <c r="I73" s="87">
        <v>10571513647</v>
      </c>
      <c r="J73" s="37"/>
      <c r="K73" s="35"/>
      <c r="L73" s="35"/>
      <c r="M73" s="106" t="s">
        <v>100</v>
      </c>
      <c r="N73" s="48">
        <v>0.17571799238711716</v>
      </c>
    </row>
    <row r="74" spans="2:14" ht="105">
      <c r="B74" s="91">
        <v>92121500</v>
      </c>
      <c r="C74" s="24" t="s">
        <v>279</v>
      </c>
      <c r="D74" s="24" t="s">
        <v>225</v>
      </c>
      <c r="E74" s="24" t="s">
        <v>101</v>
      </c>
      <c r="F74" s="24" t="s">
        <v>45</v>
      </c>
      <c r="G74" s="24" t="s">
        <v>33</v>
      </c>
      <c r="H74" s="119">
        <f>0.5139*H73</f>
        <v>5232252180.428101</v>
      </c>
      <c r="I74" s="119">
        <f>0.5139*I73</f>
        <v>5432700863.1933</v>
      </c>
      <c r="J74" s="24" t="s">
        <v>43</v>
      </c>
      <c r="K74" s="24" t="s">
        <v>93</v>
      </c>
      <c r="L74" s="24" t="s">
        <v>65</v>
      </c>
      <c r="M74" s="97">
        <f>+I74/$I$73</f>
        <v>0.5139</v>
      </c>
      <c r="N74" s="83">
        <v>45686980</v>
      </c>
    </row>
    <row r="75" spans="2:14" ht="240">
      <c r="B75" s="91">
        <v>92121500</v>
      </c>
      <c r="C75" s="24" t="s">
        <v>243</v>
      </c>
      <c r="D75" s="24" t="s">
        <v>225</v>
      </c>
      <c r="E75" s="24" t="s">
        <v>101</v>
      </c>
      <c r="F75" s="24" t="s">
        <v>39</v>
      </c>
      <c r="G75" s="24" t="s">
        <v>33</v>
      </c>
      <c r="H75" s="119">
        <f>0.4846*H73</f>
        <v>4933935408.903399</v>
      </c>
      <c r="I75" s="119">
        <f>0.4846*I73</f>
        <v>5122955513.3362</v>
      </c>
      <c r="J75" s="24" t="s">
        <v>43</v>
      </c>
      <c r="K75" s="24" t="s">
        <v>93</v>
      </c>
      <c r="L75" s="24" t="s">
        <v>65</v>
      </c>
      <c r="M75" s="106">
        <f>+I75/$I$73</f>
        <v>0.4846</v>
      </c>
      <c r="N75" s="48">
        <v>0.35347510775763447</v>
      </c>
    </row>
    <row r="76" spans="2:14" ht="75">
      <c r="B76" s="91">
        <v>78131804</v>
      </c>
      <c r="C76" s="24" t="s">
        <v>280</v>
      </c>
      <c r="D76" s="24" t="s">
        <v>220</v>
      </c>
      <c r="E76" s="24" t="s">
        <v>232</v>
      </c>
      <c r="F76" s="24" t="s">
        <v>32</v>
      </c>
      <c r="G76" s="24" t="s">
        <v>33</v>
      </c>
      <c r="H76" s="119">
        <f>0.0015*H73</f>
        <v>15272189.6685</v>
      </c>
      <c r="I76" s="119">
        <f>0.0015*I73</f>
        <v>15857270.4705</v>
      </c>
      <c r="J76" s="24" t="s">
        <v>34</v>
      </c>
      <c r="K76" s="24" t="s">
        <v>35</v>
      </c>
      <c r="L76" s="24" t="s">
        <v>65</v>
      </c>
      <c r="M76" s="106">
        <f>+I76/$I$73</f>
        <v>0.0015</v>
      </c>
      <c r="N76" s="48">
        <v>0.45643947981070004</v>
      </c>
    </row>
    <row r="77" spans="2:14" ht="15">
      <c r="B77" s="110" t="s">
        <v>116</v>
      </c>
      <c r="C77" s="82"/>
      <c r="D77" s="40"/>
      <c r="E77" s="40"/>
      <c r="F77" s="40"/>
      <c r="G77" s="40"/>
      <c r="H77" s="87">
        <v>461364633</v>
      </c>
      <c r="I77" s="87">
        <v>456917778</v>
      </c>
      <c r="J77" s="37"/>
      <c r="K77" s="35"/>
      <c r="L77" s="35"/>
      <c r="M77" s="106" t="s">
        <v>100</v>
      </c>
      <c r="N77" s="48">
        <v>0.1900854124316655</v>
      </c>
    </row>
    <row r="78" spans="2:14" ht="90">
      <c r="B78" s="91">
        <v>78121601</v>
      </c>
      <c r="C78" s="24" t="s">
        <v>281</v>
      </c>
      <c r="D78" s="24" t="s">
        <v>225</v>
      </c>
      <c r="E78" s="24" t="s">
        <v>101</v>
      </c>
      <c r="F78" s="24" t="s">
        <v>42</v>
      </c>
      <c r="G78" s="24" t="s">
        <v>33</v>
      </c>
      <c r="H78" s="119">
        <f>0.8177*H77</f>
        <v>377257860.4041</v>
      </c>
      <c r="I78" s="119">
        <f>0.8177*I77</f>
        <v>373621667.0706</v>
      </c>
      <c r="J78" s="24" t="s">
        <v>43</v>
      </c>
      <c r="K78" s="24" t="s">
        <v>93</v>
      </c>
      <c r="L78" s="24" t="s">
        <v>65</v>
      </c>
      <c r="M78" s="97">
        <f>+I78/$I$77</f>
        <v>0.8177</v>
      </c>
      <c r="N78" s="83">
        <v>1409136335</v>
      </c>
    </row>
    <row r="79" spans="2:14" ht="120">
      <c r="B79" s="91">
        <v>78121601</v>
      </c>
      <c r="C79" s="93" t="s">
        <v>282</v>
      </c>
      <c r="D79" s="24" t="s">
        <v>225</v>
      </c>
      <c r="E79" s="24" t="s">
        <v>101</v>
      </c>
      <c r="F79" s="24" t="s">
        <v>42</v>
      </c>
      <c r="G79" s="24" t="s">
        <v>33</v>
      </c>
      <c r="H79" s="119">
        <f>0.1823*H77</f>
        <v>84106772.5959</v>
      </c>
      <c r="I79" s="119">
        <f>0.1823*I77</f>
        <v>83296110.9294</v>
      </c>
      <c r="J79" s="24" t="s">
        <v>43</v>
      </c>
      <c r="K79" s="24" t="s">
        <v>93</v>
      </c>
      <c r="L79" s="24" t="s">
        <v>65</v>
      </c>
      <c r="M79" s="106">
        <f>+I79/$I$77</f>
        <v>0.1823</v>
      </c>
      <c r="N79" s="48">
        <v>1</v>
      </c>
    </row>
    <row r="80" spans="2:14" ht="15">
      <c r="B80" s="133" t="s">
        <v>118</v>
      </c>
      <c r="C80" s="114"/>
      <c r="D80" s="41"/>
      <c r="E80" s="41"/>
      <c r="F80" s="41"/>
      <c r="G80" s="41"/>
      <c r="H80" s="86">
        <v>28219756</v>
      </c>
      <c r="I80" s="86">
        <v>18701871</v>
      </c>
      <c r="J80" s="35"/>
      <c r="K80" s="35"/>
      <c r="L80" s="35"/>
      <c r="M80" s="106" t="s">
        <v>100</v>
      </c>
      <c r="N80" s="83">
        <v>24015918673</v>
      </c>
    </row>
    <row r="81" spans="2:14" ht="150">
      <c r="B81" s="91">
        <v>55101519</v>
      </c>
      <c r="C81" s="24" t="s">
        <v>283</v>
      </c>
      <c r="D81" s="24" t="s">
        <v>234</v>
      </c>
      <c r="E81" s="24" t="s">
        <v>101</v>
      </c>
      <c r="F81" s="24" t="s">
        <v>32</v>
      </c>
      <c r="G81" s="24" t="s">
        <v>33</v>
      </c>
      <c r="H81" s="119">
        <f>0.0348*H80</f>
        <v>982047.5088</v>
      </c>
      <c r="I81" s="119">
        <f>0.0348*I80</f>
        <v>650825.1107999999</v>
      </c>
      <c r="J81" s="24" t="s">
        <v>34</v>
      </c>
      <c r="K81" s="24" t="s">
        <v>35</v>
      </c>
      <c r="L81" s="24" t="s">
        <v>65</v>
      </c>
      <c r="M81" s="97">
        <f>+I81/$I$80</f>
        <v>0.0348</v>
      </c>
      <c r="N81" s="48">
        <v>1</v>
      </c>
    </row>
    <row r="82" spans="2:14" ht="75">
      <c r="B82" s="91">
        <v>82101601</v>
      </c>
      <c r="C82" s="24" t="s">
        <v>313</v>
      </c>
      <c r="D82" s="24" t="s">
        <v>235</v>
      </c>
      <c r="E82" s="24" t="s">
        <v>101</v>
      </c>
      <c r="F82" s="24" t="s">
        <v>32</v>
      </c>
      <c r="G82" s="24" t="s">
        <v>33</v>
      </c>
      <c r="H82" s="119">
        <f>0.7985*H80</f>
        <v>22533475.166</v>
      </c>
      <c r="I82" s="119">
        <f>0.7985*I80</f>
        <v>14933443.9935</v>
      </c>
      <c r="J82" s="24" t="s">
        <v>34</v>
      </c>
      <c r="K82" s="24" t="s">
        <v>35</v>
      </c>
      <c r="L82" s="24" t="s">
        <v>65</v>
      </c>
      <c r="M82" s="106">
        <f>+I82/$I$80</f>
        <v>0.7985</v>
      </c>
      <c r="N82" s="83">
        <v>1138637500</v>
      </c>
    </row>
    <row r="83" spans="2:14" ht="45">
      <c r="B83" s="91">
        <v>60121701</v>
      </c>
      <c r="C83" s="24" t="s">
        <v>256</v>
      </c>
      <c r="D83" s="24" t="s">
        <v>215</v>
      </c>
      <c r="E83" s="24" t="s">
        <v>233</v>
      </c>
      <c r="F83" s="24" t="s">
        <v>32</v>
      </c>
      <c r="G83" s="24" t="s">
        <v>33</v>
      </c>
      <c r="H83" s="119">
        <f>0.1667*H80</f>
        <v>4704233.3252</v>
      </c>
      <c r="I83" s="119">
        <f>0.1667*I80</f>
        <v>3117601.8956999998</v>
      </c>
      <c r="J83" s="24" t="s">
        <v>34</v>
      </c>
      <c r="K83" s="24" t="s">
        <v>35</v>
      </c>
      <c r="L83" s="24" t="s">
        <v>65</v>
      </c>
      <c r="M83" s="106">
        <f>+I83/$I$80</f>
        <v>0.1667</v>
      </c>
      <c r="N83" s="48">
        <v>1</v>
      </c>
    </row>
    <row r="84" spans="2:14" s="42" customFormat="1" ht="15">
      <c r="B84" s="92" t="s">
        <v>122</v>
      </c>
      <c r="C84" s="114"/>
      <c r="D84" s="41"/>
      <c r="E84" s="41"/>
      <c r="F84" s="41"/>
      <c r="G84" s="41"/>
      <c r="H84" s="87">
        <v>1175132810</v>
      </c>
      <c r="I84" s="87">
        <v>906086753</v>
      </c>
      <c r="J84" s="25"/>
      <c r="K84" s="25"/>
      <c r="L84" s="24"/>
      <c r="M84" s="106" t="s">
        <v>100</v>
      </c>
      <c r="N84" s="83">
        <v>432608533</v>
      </c>
    </row>
    <row r="85" spans="2:14" ht="180.75" thickBot="1">
      <c r="B85" s="91">
        <v>80161801</v>
      </c>
      <c r="C85" s="93" t="s">
        <v>284</v>
      </c>
      <c r="D85" s="24" t="s">
        <v>225</v>
      </c>
      <c r="E85" s="24" t="s">
        <v>101</v>
      </c>
      <c r="F85" s="24" t="s">
        <v>45</v>
      </c>
      <c r="G85" s="24" t="s">
        <v>33</v>
      </c>
      <c r="H85" s="119">
        <f>0.9775*H84</f>
        <v>1148692321.775</v>
      </c>
      <c r="I85" s="119">
        <f>0.9775*I84</f>
        <v>885699801.0575</v>
      </c>
      <c r="J85" s="24" t="s">
        <v>43</v>
      </c>
      <c r="K85" s="24" t="s">
        <v>93</v>
      </c>
      <c r="L85" s="24" t="s">
        <v>65</v>
      </c>
      <c r="M85" s="97">
        <f>+I85/$I$84</f>
        <v>0.9775</v>
      </c>
      <c r="N85" s="49">
        <v>1</v>
      </c>
    </row>
    <row r="86" spans="2:14" ht="60">
      <c r="B86" s="91">
        <v>81112401</v>
      </c>
      <c r="C86" s="93" t="s">
        <v>302</v>
      </c>
      <c r="D86" s="24" t="s">
        <v>225</v>
      </c>
      <c r="E86" s="24" t="s">
        <v>101</v>
      </c>
      <c r="F86" s="24" t="s">
        <v>45</v>
      </c>
      <c r="G86" s="24" t="s">
        <v>33</v>
      </c>
      <c r="H86" s="119">
        <f>0.0225*H84</f>
        <v>26440488.224999998</v>
      </c>
      <c r="I86" s="119">
        <f>0.0225*I84</f>
        <v>20386951.9425</v>
      </c>
      <c r="J86" s="24" t="s">
        <v>43</v>
      </c>
      <c r="K86" s="24" t="s">
        <v>93</v>
      </c>
      <c r="L86" s="24" t="s">
        <v>65</v>
      </c>
      <c r="M86" s="106">
        <f>+I86/$I$84</f>
        <v>0.0225</v>
      </c>
      <c r="N86" s="125"/>
    </row>
    <row r="87" spans="2:13" ht="15">
      <c r="B87" s="92" t="s">
        <v>123</v>
      </c>
      <c r="C87" s="114"/>
      <c r="D87" s="43"/>
      <c r="E87" s="43"/>
      <c r="F87" s="43"/>
      <c r="G87" s="43"/>
      <c r="H87" s="87">
        <v>22185139678</v>
      </c>
      <c r="I87" s="87">
        <v>22226533098</v>
      </c>
      <c r="J87" s="35"/>
      <c r="K87" s="35"/>
      <c r="L87" s="24"/>
      <c r="M87" s="106" t="s">
        <v>100</v>
      </c>
    </row>
    <row r="88" spans="2:13" ht="75">
      <c r="B88" s="91">
        <v>80131500</v>
      </c>
      <c r="C88" s="93" t="s">
        <v>285</v>
      </c>
      <c r="D88" s="24" t="s">
        <v>225</v>
      </c>
      <c r="E88" s="24" t="s">
        <v>101</v>
      </c>
      <c r="F88" s="24" t="s">
        <v>39</v>
      </c>
      <c r="G88" s="24" t="s">
        <v>33</v>
      </c>
      <c r="H88" s="119">
        <f>+H87</f>
        <v>22185139678</v>
      </c>
      <c r="I88" s="119">
        <f>+I87</f>
        <v>22226533098</v>
      </c>
      <c r="J88" s="24" t="s">
        <v>43</v>
      </c>
      <c r="K88" s="24" t="s">
        <v>93</v>
      </c>
      <c r="L88" s="24" t="s">
        <v>65</v>
      </c>
      <c r="M88" s="106">
        <f>+I88/I87</f>
        <v>1</v>
      </c>
    </row>
    <row r="89" spans="2:13" ht="15">
      <c r="B89" s="92" t="s">
        <v>244</v>
      </c>
      <c r="C89" s="115"/>
      <c r="D89" s="41"/>
      <c r="E89" s="41"/>
      <c r="F89" s="41"/>
      <c r="G89" s="41"/>
      <c r="H89" s="87">
        <v>37743034</v>
      </c>
      <c r="I89" s="87">
        <v>37743034</v>
      </c>
      <c r="J89" s="35"/>
      <c r="K89" s="35"/>
      <c r="L89" s="24"/>
      <c r="M89" s="97"/>
    </row>
    <row r="90" spans="2:13" ht="45">
      <c r="B90" s="91" t="s">
        <v>325</v>
      </c>
      <c r="C90" s="93" t="s">
        <v>303</v>
      </c>
      <c r="D90" s="24" t="s">
        <v>235</v>
      </c>
      <c r="E90" s="24" t="s">
        <v>238</v>
      </c>
      <c r="F90" s="24" t="s">
        <v>32</v>
      </c>
      <c r="G90" s="24" t="s">
        <v>33</v>
      </c>
      <c r="H90" s="119">
        <f>+H89</f>
        <v>37743034</v>
      </c>
      <c r="I90" s="119">
        <f>+I89</f>
        <v>37743034</v>
      </c>
      <c r="J90" s="24" t="s">
        <v>34</v>
      </c>
      <c r="K90" s="93" t="s">
        <v>35</v>
      </c>
      <c r="L90" s="24"/>
      <c r="M90" s="106">
        <f>+I90/I89</f>
        <v>1</v>
      </c>
    </row>
    <row r="91" spans="2:13" ht="15">
      <c r="B91" s="135" t="s">
        <v>246</v>
      </c>
      <c r="C91" s="136"/>
      <c r="D91" s="24"/>
      <c r="E91" s="24"/>
      <c r="F91" s="24"/>
      <c r="G91" s="24"/>
      <c r="H91" s="87">
        <v>10263819</v>
      </c>
      <c r="I91" s="87">
        <v>10263819</v>
      </c>
      <c r="J91" s="24"/>
      <c r="K91" s="24"/>
      <c r="L91" s="24"/>
      <c r="M91" s="107"/>
    </row>
    <row r="92" spans="2:13" ht="45">
      <c r="B92" s="91">
        <v>46171625</v>
      </c>
      <c r="C92" s="24" t="s">
        <v>304</v>
      </c>
      <c r="D92" s="24" t="s">
        <v>235</v>
      </c>
      <c r="E92" s="24" t="s">
        <v>250</v>
      </c>
      <c r="F92" s="24" t="s">
        <v>32</v>
      </c>
      <c r="G92" s="24" t="s">
        <v>33</v>
      </c>
      <c r="H92" s="119">
        <f>+H91</f>
        <v>10263819</v>
      </c>
      <c r="I92" s="119">
        <f>+I91</f>
        <v>10263819</v>
      </c>
      <c r="J92" s="24" t="s">
        <v>34</v>
      </c>
      <c r="K92" s="93" t="s">
        <v>35</v>
      </c>
      <c r="L92" s="24"/>
      <c r="M92" s="106">
        <f>+I92/I91</f>
        <v>1</v>
      </c>
    </row>
    <row r="93" spans="2:13" ht="30">
      <c r="B93" s="99" t="s">
        <v>253</v>
      </c>
      <c r="C93" s="117"/>
      <c r="D93" s="24"/>
      <c r="E93" s="24"/>
      <c r="F93" s="24"/>
      <c r="G93" s="24"/>
      <c r="H93" s="87">
        <v>71392832</v>
      </c>
      <c r="I93" s="87">
        <v>54984579</v>
      </c>
      <c r="J93" s="24"/>
      <c r="K93" s="93"/>
      <c r="L93" s="24"/>
      <c r="M93" s="118"/>
    </row>
    <row r="94" spans="2:13" ht="60">
      <c r="B94" s="91">
        <v>93141506</v>
      </c>
      <c r="C94" s="24" t="s">
        <v>305</v>
      </c>
      <c r="D94" s="24" t="s">
        <v>220</v>
      </c>
      <c r="E94" s="24" t="s">
        <v>230</v>
      </c>
      <c r="F94" s="24" t="s">
        <v>32</v>
      </c>
      <c r="G94" s="24" t="s">
        <v>33</v>
      </c>
      <c r="H94" s="119">
        <f>+H93</f>
        <v>71392832</v>
      </c>
      <c r="I94" s="119">
        <f>+I93</f>
        <v>54984579</v>
      </c>
      <c r="J94" s="24" t="s">
        <v>34</v>
      </c>
      <c r="K94" s="93" t="s">
        <v>35</v>
      </c>
      <c r="L94" s="24"/>
      <c r="M94" s="106">
        <f>+I94/I93</f>
        <v>1</v>
      </c>
    </row>
    <row r="95" spans="2:13" ht="15">
      <c r="B95" s="135" t="s">
        <v>247</v>
      </c>
      <c r="C95" s="136"/>
      <c r="D95" s="24"/>
      <c r="E95" s="24"/>
      <c r="F95" s="24"/>
      <c r="G95" s="24"/>
      <c r="H95" s="120">
        <v>37735948</v>
      </c>
      <c r="I95" s="120">
        <v>37735948</v>
      </c>
      <c r="J95" s="24"/>
      <c r="K95" s="24"/>
      <c r="L95" s="24"/>
      <c r="M95" s="107"/>
    </row>
    <row r="96" spans="2:13" ht="60">
      <c r="B96" s="91" t="s">
        <v>326</v>
      </c>
      <c r="C96" s="24" t="s">
        <v>306</v>
      </c>
      <c r="D96" s="24" t="s">
        <v>237</v>
      </c>
      <c r="E96" s="24" t="s">
        <v>250</v>
      </c>
      <c r="F96" s="24" t="s">
        <v>32</v>
      </c>
      <c r="G96" s="24" t="s">
        <v>33</v>
      </c>
      <c r="H96" s="119">
        <f>+H95</f>
        <v>37735948</v>
      </c>
      <c r="I96" s="119">
        <f>+I95</f>
        <v>37735948</v>
      </c>
      <c r="J96" s="24" t="s">
        <v>34</v>
      </c>
      <c r="K96" s="93" t="s">
        <v>35</v>
      </c>
      <c r="L96" s="24"/>
      <c r="M96" s="106">
        <f>+I96/I95</f>
        <v>1</v>
      </c>
    </row>
    <row r="97" spans="2:13" ht="15">
      <c r="B97" s="135" t="s">
        <v>252</v>
      </c>
      <c r="C97" s="136"/>
      <c r="D97" s="24"/>
      <c r="E97" s="24"/>
      <c r="F97" s="24"/>
      <c r="G97" s="24"/>
      <c r="H97" s="120">
        <v>31091080</v>
      </c>
      <c r="I97" s="120">
        <v>31091080</v>
      </c>
      <c r="J97" s="24"/>
      <c r="K97" s="24"/>
      <c r="L97" s="24"/>
      <c r="M97" s="107"/>
    </row>
    <row r="98" spans="2:13" ht="45">
      <c r="B98" s="132">
        <v>44101509</v>
      </c>
      <c r="C98" s="24" t="s">
        <v>286</v>
      </c>
      <c r="D98" s="24" t="s">
        <v>214</v>
      </c>
      <c r="E98" s="24" t="s">
        <v>238</v>
      </c>
      <c r="F98" s="24" t="s">
        <v>32</v>
      </c>
      <c r="G98" s="24" t="s">
        <v>33</v>
      </c>
      <c r="H98" s="119">
        <f>+H97</f>
        <v>31091080</v>
      </c>
      <c r="I98" s="119">
        <f>+I97</f>
        <v>31091080</v>
      </c>
      <c r="J98" s="24" t="s">
        <v>34</v>
      </c>
      <c r="K98" s="93" t="s">
        <v>35</v>
      </c>
      <c r="L98" s="24"/>
      <c r="M98" s="106">
        <f>+I98/I97</f>
        <v>1</v>
      </c>
    </row>
    <row r="99" spans="2:13" ht="15">
      <c r="B99" s="126" t="s">
        <v>245</v>
      </c>
      <c r="C99" s="127"/>
      <c r="D99" s="128"/>
      <c r="E99" s="128"/>
      <c r="F99" s="128"/>
      <c r="G99" s="128"/>
      <c r="H99" s="120">
        <v>160287560</v>
      </c>
      <c r="I99" s="120">
        <v>66239170</v>
      </c>
      <c r="J99" s="129"/>
      <c r="K99" s="129"/>
      <c r="L99" s="130"/>
      <c r="M99" s="118" t="s">
        <v>100</v>
      </c>
    </row>
    <row r="100" spans="2:13" ht="90">
      <c r="B100" s="25" t="s">
        <v>327</v>
      </c>
      <c r="C100" s="24" t="s">
        <v>314</v>
      </c>
      <c r="D100" s="131" t="s">
        <v>251</v>
      </c>
      <c r="E100" s="131" t="s">
        <v>57</v>
      </c>
      <c r="F100" s="24" t="s">
        <v>32</v>
      </c>
      <c r="G100" s="24" t="s">
        <v>33</v>
      </c>
      <c r="H100" s="119">
        <f>+H99</f>
        <v>160287560</v>
      </c>
      <c r="I100" s="119">
        <f>+I99</f>
        <v>66239170</v>
      </c>
      <c r="J100" s="24" t="s">
        <v>34</v>
      </c>
      <c r="K100" s="24" t="s">
        <v>35</v>
      </c>
      <c r="L100" s="24" t="s">
        <v>65</v>
      </c>
      <c r="M100" s="106">
        <f>+I100/I99</f>
        <v>1</v>
      </c>
    </row>
    <row r="101" spans="9:11" ht="15">
      <c r="I101" s="38" t="s">
        <v>100</v>
      </c>
      <c r="J101" s="101" t="s">
        <v>100</v>
      </c>
      <c r="K101" s="38" t="s">
        <v>100</v>
      </c>
    </row>
    <row r="102" spans="4:11" ht="15">
      <c r="D102" s="148" t="s">
        <v>224</v>
      </c>
      <c r="E102" s="148"/>
      <c r="F102" s="148"/>
      <c r="G102" s="148"/>
      <c r="H102" s="79">
        <f>+H99+H89+H91+H87+H84+H80+H77+H73+H71+H68+H57+H48+H39+H35+H31+H19+H21+H97</f>
        <v>48490710215</v>
      </c>
      <c r="I102" s="38">
        <f>+I19+I21+I31+I35+I39+I48+I57+I68+I71+I73+I77+I80+I84+I87+I89+I91+I93+I95+I97+I99</f>
        <v>47237066919</v>
      </c>
      <c r="J102" s="98"/>
      <c r="K102" s="38"/>
    </row>
    <row r="103" spans="4:9" ht="15">
      <c r="D103" s="146" t="s">
        <v>212</v>
      </c>
      <c r="E103" s="146"/>
      <c r="F103" s="146"/>
      <c r="G103" s="146"/>
      <c r="H103" s="45">
        <v>63409382</v>
      </c>
      <c r="I103" s="45">
        <v>65849245</v>
      </c>
    </row>
    <row r="104" spans="4:9" ht="15">
      <c r="D104" s="146" t="s">
        <v>213</v>
      </c>
      <c r="E104" s="146"/>
      <c r="F104" s="146"/>
      <c r="G104" s="146"/>
      <c r="H104" s="45">
        <v>5674502577</v>
      </c>
      <c r="I104" s="45">
        <v>5674502577</v>
      </c>
    </row>
    <row r="105" spans="4:9" ht="15">
      <c r="D105" s="146" t="s">
        <v>129</v>
      </c>
      <c r="E105" s="146"/>
      <c r="F105" s="146"/>
      <c r="G105" s="146"/>
      <c r="H105" s="45">
        <v>216594842</v>
      </c>
      <c r="I105" s="45">
        <v>113305015</v>
      </c>
    </row>
    <row r="106" spans="4:9" ht="15">
      <c r="D106" s="146" t="s">
        <v>131</v>
      </c>
      <c r="E106" s="146"/>
      <c r="F106" s="146"/>
      <c r="G106" s="146"/>
      <c r="H106" s="45">
        <v>20466931</v>
      </c>
      <c r="I106" s="45">
        <v>12213248</v>
      </c>
    </row>
    <row r="107" spans="4:9" ht="15">
      <c r="D107" s="146" t="s">
        <v>208</v>
      </c>
      <c r="E107" s="146"/>
      <c r="F107" s="146"/>
      <c r="G107" s="146"/>
      <c r="H107" s="45">
        <v>477542706</v>
      </c>
      <c r="I107" s="45"/>
    </row>
    <row r="108" spans="4:9" ht="15">
      <c r="D108" s="146" t="s">
        <v>209</v>
      </c>
      <c r="E108" s="146"/>
      <c r="F108" s="146"/>
      <c r="G108" s="146"/>
      <c r="H108" s="45">
        <v>323267688</v>
      </c>
      <c r="I108" s="45"/>
    </row>
    <row r="109" spans="4:13" ht="15">
      <c r="D109" s="146" t="s">
        <v>211</v>
      </c>
      <c r="E109" s="146"/>
      <c r="F109" s="146"/>
      <c r="G109" s="146"/>
      <c r="H109" s="45">
        <v>68987501</v>
      </c>
      <c r="I109" s="45" t="s">
        <v>100</v>
      </c>
      <c r="M109" s="100" t="s">
        <v>100</v>
      </c>
    </row>
    <row r="110" spans="4:9" ht="15">
      <c r="D110" s="146" t="s">
        <v>207</v>
      </c>
      <c r="E110" s="146" t="s">
        <v>100</v>
      </c>
      <c r="F110" s="146"/>
      <c r="G110" s="146"/>
      <c r="H110" s="45">
        <f>H77-N71</f>
        <v>99590223</v>
      </c>
      <c r="I110" s="45"/>
    </row>
    <row r="111" spans="4:9" ht="15">
      <c r="D111" s="146" t="s">
        <v>210</v>
      </c>
      <c r="E111" s="146"/>
      <c r="F111" s="146"/>
      <c r="G111" s="146"/>
      <c r="H111" s="45">
        <f>H99</f>
        <v>160287560</v>
      </c>
      <c r="I111" s="45"/>
    </row>
    <row r="112" spans="4:9" ht="15">
      <c r="D112" s="147" t="s">
        <v>130</v>
      </c>
      <c r="E112" s="147"/>
      <c r="F112" s="147"/>
      <c r="G112" s="147"/>
      <c r="H112" s="78">
        <f>SUM(H102:H109)-H110-H111</f>
        <v>55075604059</v>
      </c>
      <c r="I112" s="78">
        <f>SUM(I102:I110)</f>
        <v>53102937004</v>
      </c>
    </row>
    <row r="113" spans="8:9" ht="15">
      <c r="H113" s="45"/>
      <c r="I113" s="38" t="s">
        <v>100</v>
      </c>
    </row>
  </sheetData>
  <sheetProtection/>
  <mergeCells count="16">
    <mergeCell ref="D111:G111"/>
    <mergeCell ref="D109:G109"/>
    <mergeCell ref="D112:G112"/>
    <mergeCell ref="D102:G102"/>
    <mergeCell ref="D104:G104"/>
    <mergeCell ref="D105:G105"/>
    <mergeCell ref="D106:G106"/>
    <mergeCell ref="B91:C91"/>
    <mergeCell ref="F5:I9"/>
    <mergeCell ref="F11:I15"/>
    <mergeCell ref="D103:G103"/>
    <mergeCell ref="D110:G110"/>
    <mergeCell ref="D107:G107"/>
    <mergeCell ref="D108:G108"/>
    <mergeCell ref="B97:C97"/>
    <mergeCell ref="B95:C9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102"/>
  <sheetViews>
    <sheetView zoomScalePageLayoutView="0" workbookViewId="0" topLeftCell="A13">
      <selection activeCell="C29" sqref="C29"/>
    </sheetView>
  </sheetViews>
  <sheetFormatPr defaultColWidth="11.421875" defaultRowHeight="15"/>
  <cols>
    <col min="1" max="1" width="2.00390625" style="51" customWidth="1"/>
    <col min="2" max="2" width="58.57421875" style="51" bestFit="1" customWidth="1"/>
    <col min="3" max="3" width="20.28125" style="51" bestFit="1" customWidth="1"/>
    <col min="4" max="4" width="24.00390625" style="51" bestFit="1" customWidth="1"/>
    <col min="5" max="5" width="9.28125" style="50" bestFit="1" customWidth="1"/>
    <col min="6" max="6" width="14.57421875" style="50" bestFit="1" customWidth="1"/>
    <col min="7" max="7" width="14.7109375" style="50" bestFit="1" customWidth="1"/>
    <col min="8" max="8" width="14.140625" style="50" bestFit="1" customWidth="1"/>
    <col min="9" max="9" width="11.421875" style="50" customWidth="1"/>
    <col min="10" max="10" width="14.140625" style="50" bestFit="1" customWidth="1"/>
    <col min="11" max="16384" width="11.421875" style="51" customWidth="1"/>
  </cols>
  <sheetData>
    <row r="2" spans="2:4" ht="15">
      <c r="B2" s="149" t="s">
        <v>205</v>
      </c>
      <c r="C2" s="149"/>
      <c r="D2" s="150"/>
    </row>
    <row r="3" spans="2:4" ht="15">
      <c r="B3" s="151"/>
      <c r="C3" s="151"/>
      <c r="D3" s="151"/>
    </row>
    <row r="4" spans="2:6" ht="30">
      <c r="B4" s="26" t="s">
        <v>105</v>
      </c>
      <c r="C4" s="26">
        <v>2016</v>
      </c>
      <c r="D4" s="26">
        <v>2015</v>
      </c>
      <c r="E4" s="65" t="s">
        <v>133</v>
      </c>
      <c r="F4" s="65" t="s">
        <v>134</v>
      </c>
    </row>
    <row r="5" spans="2:6" ht="15">
      <c r="B5" s="66" t="s">
        <v>106</v>
      </c>
      <c r="C5" s="66"/>
      <c r="D5" s="27"/>
      <c r="E5" s="67"/>
      <c r="F5" s="67"/>
    </row>
    <row r="6" spans="2:6" ht="15">
      <c r="B6" s="34" t="s">
        <v>107</v>
      </c>
      <c r="C6" s="68">
        <f>SUM(C7)</f>
        <v>296701782</v>
      </c>
      <c r="D6" s="68">
        <f>SUM(D7)</f>
        <v>416072946</v>
      </c>
      <c r="E6" s="67"/>
      <c r="F6" s="67"/>
    </row>
    <row r="7" spans="2:6" ht="25.5">
      <c r="B7" s="69" t="s">
        <v>135</v>
      </c>
      <c r="C7" s="70">
        <v>296701782</v>
      </c>
      <c r="D7" s="70">
        <f>67654146+348418800</f>
        <v>416072946</v>
      </c>
      <c r="E7" s="67">
        <f>+C7/C6</f>
        <v>1</v>
      </c>
      <c r="F7" s="67">
        <f>+D7/D6</f>
        <v>1</v>
      </c>
    </row>
    <row r="8" spans="2:8" ht="15">
      <c r="B8" s="34" t="s">
        <v>136</v>
      </c>
      <c r="C8" s="68">
        <f>SUM(C9:C14)</f>
        <v>325940721</v>
      </c>
      <c r="D8" s="68">
        <f>SUM(D9:D14)</f>
        <v>315663183</v>
      </c>
      <c r="E8" s="67"/>
      <c r="F8" s="67"/>
      <c r="H8" s="55"/>
    </row>
    <row r="9" spans="2:6" ht="15">
      <c r="B9" s="69" t="s">
        <v>137</v>
      </c>
      <c r="C9" s="70"/>
      <c r="D9" s="70">
        <v>64405325</v>
      </c>
      <c r="E9" s="67">
        <f aca="true" t="shared" si="0" ref="E9:E14">+C9/$C$8</f>
        <v>0</v>
      </c>
      <c r="F9" s="67">
        <f aca="true" t="shared" si="1" ref="F9:F14">+D9/$D$8</f>
        <v>0.20403179232973773</v>
      </c>
    </row>
    <row r="10" spans="2:8" ht="25.5">
      <c r="B10" s="69" t="s">
        <v>138</v>
      </c>
      <c r="C10" s="70">
        <v>15747193</v>
      </c>
      <c r="D10" s="70">
        <v>5461440</v>
      </c>
      <c r="E10" s="67">
        <f t="shared" si="0"/>
        <v>0.048313058128137354</v>
      </c>
      <c r="F10" s="67">
        <f t="shared" si="1"/>
        <v>0.01730147921621889</v>
      </c>
      <c r="H10"/>
    </row>
    <row r="11" spans="2:8" ht="25.5">
      <c r="B11" s="69" t="s">
        <v>139</v>
      </c>
      <c r="C11" s="70">
        <v>39015616</v>
      </c>
      <c r="D11" s="70">
        <f>6629941+2308110</f>
        <v>8938051</v>
      </c>
      <c r="E11" s="67">
        <f t="shared" si="0"/>
        <v>0.11970156990601981</v>
      </c>
      <c r="F11" s="67">
        <f t="shared" si="1"/>
        <v>0.028315151976402646</v>
      </c>
      <c r="H11"/>
    </row>
    <row r="12" spans="2:6" ht="15">
      <c r="B12" s="69" t="s">
        <v>140</v>
      </c>
      <c r="C12" s="70">
        <v>67384538</v>
      </c>
      <c r="D12" s="70">
        <v>44603357</v>
      </c>
      <c r="E12" s="67">
        <f t="shared" si="0"/>
        <v>0.20673862962952702</v>
      </c>
      <c r="F12" s="67">
        <f t="shared" si="1"/>
        <v>0.14130047278906138</v>
      </c>
    </row>
    <row r="13" spans="2:6" ht="15">
      <c r="B13" s="69" t="s">
        <v>141</v>
      </c>
      <c r="C13" s="70">
        <f>67833520+135959854</f>
        <v>203793374</v>
      </c>
      <c r="D13" s="70">
        <f>64419556+64004160</f>
        <v>128423716</v>
      </c>
      <c r="E13" s="67">
        <f t="shared" si="0"/>
        <v>0.6252467423363158</v>
      </c>
      <c r="F13" s="67">
        <f t="shared" si="1"/>
        <v>0.4068378034444391</v>
      </c>
    </row>
    <row r="14" spans="2:6" ht="15">
      <c r="B14" s="69" t="s">
        <v>142</v>
      </c>
      <c r="C14" s="70"/>
      <c r="D14" s="70">
        <v>63831294</v>
      </c>
      <c r="E14" s="67">
        <f t="shared" si="0"/>
        <v>0</v>
      </c>
      <c r="F14" s="67">
        <f t="shared" si="1"/>
        <v>0.20221330024414028</v>
      </c>
    </row>
    <row r="15" spans="2:6" ht="15">
      <c r="B15" s="34" t="s">
        <v>143</v>
      </c>
      <c r="C15" s="68">
        <f>+C17+C16</f>
        <v>29865360</v>
      </c>
      <c r="D15" s="68">
        <f>SUM(D16:D17)</f>
        <v>65997997</v>
      </c>
      <c r="E15" s="67"/>
      <c r="F15" s="67"/>
    </row>
    <row r="16" spans="2:6" ht="15">
      <c r="B16" s="69" t="s">
        <v>144</v>
      </c>
      <c r="C16" s="70">
        <v>29865360</v>
      </c>
      <c r="D16" s="70">
        <v>64282357</v>
      </c>
      <c r="E16" s="67">
        <f>+C16/$C$15</f>
        <v>1</v>
      </c>
      <c r="F16" s="67">
        <f>+D16/$D$15</f>
        <v>0.9740046656264432</v>
      </c>
    </row>
    <row r="17" spans="2:6" ht="15">
      <c r="B17" s="69" t="s">
        <v>145</v>
      </c>
      <c r="C17" s="70"/>
      <c r="D17" s="70">
        <v>1715640</v>
      </c>
      <c r="E17" s="67">
        <f>+C17/$C$15</f>
        <v>0</v>
      </c>
      <c r="F17" s="67">
        <f>+D17/$D$15</f>
        <v>0.025995334373556823</v>
      </c>
    </row>
    <row r="18" spans="2:6" ht="15">
      <c r="B18" s="34" t="s">
        <v>143</v>
      </c>
      <c r="C18" s="68">
        <f>SUM(C19:C25)</f>
        <v>414589307</v>
      </c>
      <c r="D18" s="68">
        <f>SUM(D19:D25)</f>
        <v>820454560</v>
      </c>
      <c r="E18" s="67"/>
      <c r="F18" s="67"/>
    </row>
    <row r="19" spans="2:6" ht="15">
      <c r="B19" s="69" t="s">
        <v>146</v>
      </c>
      <c r="C19" s="70"/>
      <c r="D19" s="70">
        <v>10408106</v>
      </c>
      <c r="E19" s="67">
        <f aca="true" t="shared" si="2" ref="E19:E25">+C19/$C$18</f>
        <v>0</v>
      </c>
      <c r="F19" s="67">
        <f aca="true" t="shared" si="3" ref="F19:F25">+D19/$D$18</f>
        <v>0.012685779941304732</v>
      </c>
    </row>
    <row r="20" spans="2:6" ht="15">
      <c r="B20" s="69" t="s">
        <v>147</v>
      </c>
      <c r="C20" s="70">
        <v>29990935</v>
      </c>
      <c r="D20" s="70">
        <v>36998974</v>
      </c>
      <c r="E20" s="67">
        <f t="shared" si="2"/>
        <v>0.07233890139863158</v>
      </c>
      <c r="F20" s="67">
        <f t="shared" si="3"/>
        <v>0.04509570158279089</v>
      </c>
    </row>
    <row r="21" spans="2:6" ht="15">
      <c r="B21" s="69" t="s">
        <v>148</v>
      </c>
      <c r="C21" s="56">
        <v>67938006</v>
      </c>
      <c r="D21" s="70">
        <v>64372250</v>
      </c>
      <c r="E21" s="67">
        <f t="shared" si="2"/>
        <v>0.16386820608472663</v>
      </c>
      <c r="F21" s="67">
        <f t="shared" si="3"/>
        <v>0.078459250686595</v>
      </c>
    </row>
    <row r="22" spans="2:6" ht="15">
      <c r="B22" s="69" t="s">
        <v>149</v>
      </c>
      <c r="C22" s="70">
        <v>25000000</v>
      </c>
      <c r="D22" s="70">
        <v>43703201</v>
      </c>
      <c r="E22" s="67">
        <f t="shared" si="2"/>
        <v>0.06030063867517934</v>
      </c>
      <c r="F22" s="67">
        <f t="shared" si="3"/>
        <v>0.05326705844623497</v>
      </c>
    </row>
    <row r="23" spans="2:6" ht="15">
      <c r="B23" s="69" t="s">
        <v>150</v>
      </c>
      <c r="C23" s="70">
        <v>20363365</v>
      </c>
      <c r="D23" s="70">
        <v>46243971</v>
      </c>
      <c r="E23" s="67">
        <f t="shared" si="2"/>
        <v>0.04911695660303173</v>
      </c>
      <c r="F23" s="67">
        <f t="shared" si="3"/>
        <v>0.056363841770834935</v>
      </c>
    </row>
    <row r="24" spans="2:6" ht="15">
      <c r="B24" s="69" t="s">
        <v>151</v>
      </c>
      <c r="C24" s="70">
        <v>67916067</v>
      </c>
      <c r="D24" s="70">
        <v>165416000</v>
      </c>
      <c r="E24" s="67">
        <f t="shared" si="2"/>
        <v>0.16381528865625083</v>
      </c>
      <c r="F24" s="67">
        <f t="shared" si="3"/>
        <v>0.20161506567773846</v>
      </c>
    </row>
    <row r="25" spans="2:6" ht="25.5">
      <c r="B25" s="69" t="s">
        <v>152</v>
      </c>
      <c r="C25" s="70">
        <f>67890933+67598990+67891011</f>
        <v>203380934</v>
      </c>
      <c r="D25" s="70">
        <v>453312058</v>
      </c>
      <c r="E25" s="67">
        <f t="shared" si="2"/>
        <v>0.49056000858217985</v>
      </c>
      <c r="F25" s="67">
        <f t="shared" si="3"/>
        <v>0.552513301894501</v>
      </c>
    </row>
    <row r="26" spans="2:6" ht="25.5">
      <c r="B26" s="34" t="s">
        <v>153</v>
      </c>
      <c r="C26" s="68">
        <f>SUM(C27:C28)</f>
        <v>0</v>
      </c>
      <c r="D26" s="68">
        <f>SUM(D27:D28)</f>
        <v>84604385</v>
      </c>
      <c r="E26" s="67"/>
      <c r="F26" s="67"/>
    </row>
    <row r="27" spans="2:6" ht="25.5">
      <c r="B27" s="69" t="s">
        <v>154</v>
      </c>
      <c r="C27" s="70"/>
      <c r="D27" s="70">
        <v>62608929</v>
      </c>
      <c r="E27" s="67"/>
      <c r="F27" s="67">
        <f>+D27/$D$26</f>
        <v>0.7400199055876359</v>
      </c>
    </row>
    <row r="28" spans="2:6" ht="25.5">
      <c r="B28" s="69" t="s">
        <v>155</v>
      </c>
      <c r="C28" s="70"/>
      <c r="D28" s="70">
        <v>21995456</v>
      </c>
      <c r="E28" s="67"/>
      <c r="F28" s="67">
        <f>+D28/$D$26</f>
        <v>0.2599800944123641</v>
      </c>
    </row>
    <row r="29" spans="2:6" ht="15">
      <c r="B29" s="34" t="s">
        <v>108</v>
      </c>
      <c r="C29" s="68">
        <f>SUM(C30:C32)</f>
        <v>114532135</v>
      </c>
      <c r="D29" s="68">
        <f>SUM(D30:D32)</f>
        <v>99044037</v>
      </c>
      <c r="E29" s="67"/>
      <c r="F29" s="67"/>
    </row>
    <row r="30" spans="2:6" ht="25.5">
      <c r="B30" s="69" t="s">
        <v>156</v>
      </c>
      <c r="C30" s="70">
        <v>46129787</v>
      </c>
      <c r="D30" s="70">
        <v>31538859</v>
      </c>
      <c r="E30" s="67">
        <f>+C30/$C$29</f>
        <v>0.40276719717134407</v>
      </c>
      <c r="F30" s="67">
        <f>+D30/$D$29</f>
        <v>0.31843268868372154</v>
      </c>
    </row>
    <row r="31" spans="2:6" ht="15">
      <c r="B31" s="69" t="s">
        <v>157</v>
      </c>
      <c r="C31" s="70">
        <v>25215658</v>
      </c>
      <c r="D31" s="70">
        <v>53881703</v>
      </c>
      <c r="E31" s="67">
        <f>+C31/$C$29</f>
        <v>0.2201622976817816</v>
      </c>
      <c r="F31" s="67">
        <f>+D31/$D$29</f>
        <v>0.5440176373263137</v>
      </c>
    </row>
    <row r="32" spans="2:6" ht="15">
      <c r="B32" s="69" t="s">
        <v>158</v>
      </c>
      <c r="C32" s="70">
        <v>43186690</v>
      </c>
      <c r="D32" s="70">
        <v>13623475</v>
      </c>
      <c r="E32" s="67">
        <f>+C32/$C$29</f>
        <v>0.3770705051468743</v>
      </c>
      <c r="F32" s="67">
        <f>+D32/$D$29</f>
        <v>0.13754967398996468</v>
      </c>
    </row>
    <row r="33" spans="2:6" ht="15">
      <c r="B33" s="34" t="s">
        <v>109</v>
      </c>
      <c r="C33" s="68">
        <f>SUM(C34:C37)</f>
        <v>2144115660</v>
      </c>
      <c r="D33" s="68">
        <f>SUM(D34:D37)</f>
        <v>1178378816</v>
      </c>
      <c r="E33" s="67"/>
      <c r="F33" s="67"/>
    </row>
    <row r="34" spans="2:6" ht="15">
      <c r="B34" s="69" t="s">
        <v>159</v>
      </c>
      <c r="C34" s="70">
        <v>970534305</v>
      </c>
      <c r="D34" s="70">
        <v>611112100</v>
      </c>
      <c r="E34" s="67">
        <f>+C34/$C$33</f>
        <v>0.45265016393751817</v>
      </c>
      <c r="F34" s="67">
        <f>+D34/$D$33</f>
        <v>0.5186041124486745</v>
      </c>
    </row>
    <row r="35" spans="2:7" ht="15">
      <c r="B35" s="69" t="s">
        <v>160</v>
      </c>
      <c r="C35" s="70">
        <f>189324312+39150000</f>
        <v>228474312</v>
      </c>
      <c r="D35" s="70">
        <v>402594924</v>
      </c>
      <c r="E35" s="67">
        <f>+C35/$C$33</f>
        <v>0.1065587627861456</v>
      </c>
      <c r="F35" s="67">
        <f>+D35/$D$33</f>
        <v>0.3416515288068451</v>
      </c>
      <c r="G35" s="64"/>
    </row>
    <row r="36" spans="2:6" ht="15">
      <c r="B36" s="69" t="s">
        <v>161</v>
      </c>
      <c r="C36" s="70"/>
      <c r="D36" s="70">
        <v>100700123</v>
      </c>
      <c r="E36" s="67">
        <f>+C36/$C$33</f>
        <v>0</v>
      </c>
      <c r="F36" s="67">
        <f>+D36/$D$33</f>
        <v>0.08545649466257886</v>
      </c>
    </row>
    <row r="37" spans="2:10" ht="15">
      <c r="B37" s="69" t="s">
        <v>162</v>
      </c>
      <c r="C37" s="70">
        <v>945107043</v>
      </c>
      <c r="D37" s="70">
        <v>63971669</v>
      </c>
      <c r="E37" s="67">
        <f>+C37/$C$33</f>
        <v>0.4407910732763362</v>
      </c>
      <c r="F37" s="67">
        <f>+D37/$D$33</f>
        <v>0.054287864081901484</v>
      </c>
      <c r="J37" s="57"/>
    </row>
    <row r="38" spans="2:6" ht="15">
      <c r="B38" s="34" t="s">
        <v>110</v>
      </c>
      <c r="C38" s="68">
        <f>SUM(C39:C44)</f>
        <v>426408197</v>
      </c>
      <c r="D38" s="68">
        <f>SUM(D39:D44)</f>
        <v>415010642</v>
      </c>
      <c r="E38" s="67"/>
      <c r="F38" s="67"/>
    </row>
    <row r="39" spans="2:6" ht="15">
      <c r="B39" s="69" t="s">
        <v>163</v>
      </c>
      <c r="C39" s="70">
        <v>2492531</v>
      </c>
      <c r="D39" s="70">
        <v>50395912</v>
      </c>
      <c r="E39" s="67">
        <f aca="true" t="shared" si="4" ref="E39:E44">+C39/$C$38</f>
        <v>0.005845410612498146</v>
      </c>
      <c r="F39" s="67">
        <f aca="true" t="shared" si="5" ref="F39:F44">+D39/$D$38</f>
        <v>0.12143281858299913</v>
      </c>
    </row>
    <row r="40" spans="2:6" ht="15">
      <c r="B40" s="69" t="s">
        <v>164</v>
      </c>
      <c r="C40" s="70">
        <v>24000000</v>
      </c>
      <c r="D40" s="70">
        <v>53141301</v>
      </c>
      <c r="E40" s="67">
        <f t="shared" si="4"/>
        <v>0.05628409624592653</v>
      </c>
      <c r="F40" s="67">
        <f t="shared" si="5"/>
        <v>0.12804804412702264</v>
      </c>
    </row>
    <row r="41" spans="2:6" ht="15">
      <c r="B41" s="69" t="s">
        <v>165</v>
      </c>
      <c r="C41" s="70"/>
      <c r="D41" s="70">
        <v>3288659</v>
      </c>
      <c r="E41" s="67">
        <f t="shared" si="4"/>
        <v>0</v>
      </c>
      <c r="F41" s="67">
        <f t="shared" si="5"/>
        <v>0.007924276312895127</v>
      </c>
    </row>
    <row r="42" spans="2:6" ht="15">
      <c r="B42" s="69" t="s">
        <v>166</v>
      </c>
      <c r="C42" s="70">
        <v>68119455</v>
      </c>
      <c r="D42" s="70">
        <v>47223514</v>
      </c>
      <c r="E42" s="67">
        <f t="shared" si="4"/>
        <v>0.1597517483933359</v>
      </c>
      <c r="F42" s="67">
        <f t="shared" si="5"/>
        <v>0.11378868207432619</v>
      </c>
    </row>
    <row r="43" spans="2:6" ht="15">
      <c r="B43" s="69" t="s">
        <v>167</v>
      </c>
      <c r="C43" s="70">
        <v>304607841</v>
      </c>
      <c r="D43" s="70">
        <v>228957760</v>
      </c>
      <c r="E43" s="67">
        <f t="shared" si="4"/>
        <v>0.7143573766711618</v>
      </c>
      <c r="F43" s="67">
        <f t="shared" si="5"/>
        <v>0.5516912985571103</v>
      </c>
    </row>
    <row r="44" spans="2:6" ht="15">
      <c r="B44" s="69" t="s">
        <v>168</v>
      </c>
      <c r="C44" s="70">
        <v>27188370</v>
      </c>
      <c r="D44" s="70">
        <v>32003496</v>
      </c>
      <c r="E44" s="67">
        <f t="shared" si="4"/>
        <v>0.06376136807707757</v>
      </c>
      <c r="F44" s="67">
        <f t="shared" si="5"/>
        <v>0.07711488034564666</v>
      </c>
    </row>
    <row r="45" spans="2:6" ht="15">
      <c r="B45" s="34" t="s">
        <v>111</v>
      </c>
      <c r="C45" s="68">
        <f>SUM(C46:C47)</f>
        <v>558920014</v>
      </c>
      <c r="D45" s="68">
        <f>SUM(D46:D47)</f>
        <v>509345261</v>
      </c>
      <c r="E45" s="67"/>
      <c r="F45" s="67"/>
    </row>
    <row r="46" spans="2:6" ht="15">
      <c r="B46" s="69" t="s">
        <v>169</v>
      </c>
      <c r="C46" s="70">
        <v>528920014</v>
      </c>
      <c r="D46" s="70">
        <f>490832115+12229277</f>
        <v>503061392</v>
      </c>
      <c r="E46" s="67">
        <f>+C46/$C$45</f>
        <v>0.9463250568085758</v>
      </c>
      <c r="F46" s="67">
        <f>+D46/$D$45</f>
        <v>0.9876628497776482</v>
      </c>
    </row>
    <row r="47" spans="2:6" ht="15">
      <c r="B47" s="69" t="s">
        <v>170</v>
      </c>
      <c r="C47" s="70">
        <v>30000000</v>
      </c>
      <c r="D47" s="70">
        <v>6283869</v>
      </c>
      <c r="E47" s="67">
        <f>+C47/$C$45</f>
        <v>0.053674943191424164</v>
      </c>
      <c r="F47" s="67">
        <f>+D47/$D$45</f>
        <v>0.012337150222351828</v>
      </c>
    </row>
    <row r="48" spans="2:6" ht="15">
      <c r="B48" s="34" t="s">
        <v>112</v>
      </c>
      <c r="C48" s="68">
        <f>SUM(C49:C59)</f>
        <v>1082564518</v>
      </c>
      <c r="D48" s="68">
        <f>SUM(D49:D59)</f>
        <v>898745958</v>
      </c>
      <c r="E48" s="67"/>
      <c r="F48" s="67"/>
    </row>
    <row r="49" spans="2:6" ht="15">
      <c r="B49" s="69" t="s">
        <v>171</v>
      </c>
      <c r="C49" s="70">
        <v>50614667</v>
      </c>
      <c r="D49" s="70">
        <v>5250000</v>
      </c>
      <c r="E49" s="67">
        <f aca="true" t="shared" si="6" ref="E49:E59">+C49/$C$48</f>
        <v>0.04675441154630564</v>
      </c>
      <c r="F49" s="67">
        <f aca="true" t="shared" si="7" ref="F49:F59">+D49/$D$48</f>
        <v>0.005841472724598334</v>
      </c>
    </row>
    <row r="50" spans="2:6" ht="25.5">
      <c r="B50" s="69" t="s">
        <v>172</v>
      </c>
      <c r="C50" s="70">
        <v>50000000</v>
      </c>
      <c r="D50" s="70">
        <v>64079824</v>
      </c>
      <c r="E50" s="67">
        <f t="shared" si="6"/>
        <v>0.04618662367798018</v>
      </c>
      <c r="F50" s="67">
        <f t="shared" si="7"/>
        <v>0.07129915125582129</v>
      </c>
    </row>
    <row r="51" spans="2:6" ht="15">
      <c r="B51" s="69" t="s">
        <v>173</v>
      </c>
      <c r="C51" s="70">
        <f>67999533+39955372</f>
        <v>107954905</v>
      </c>
      <c r="D51" s="70">
        <v>64420307</v>
      </c>
      <c r="E51" s="67">
        <f t="shared" si="6"/>
        <v>0.09972145142854201</v>
      </c>
      <c r="F51" s="67">
        <f t="shared" si="7"/>
        <v>0.07167799357157165</v>
      </c>
    </row>
    <row r="52" spans="2:6" ht="15">
      <c r="B52" s="69" t="s">
        <v>174</v>
      </c>
      <c r="C52" s="70">
        <v>68929319</v>
      </c>
      <c r="D52" s="70">
        <v>136795524</v>
      </c>
      <c r="E52" s="67">
        <f t="shared" si="6"/>
        <v>0.06367225034064898</v>
      </c>
      <c r="F52" s="67">
        <f t="shared" si="7"/>
        <v>0.15220710900821655</v>
      </c>
    </row>
    <row r="53" spans="2:6" ht="15">
      <c r="B53" s="69" t="s">
        <v>175</v>
      </c>
      <c r="C53" s="70">
        <v>198054720</v>
      </c>
      <c r="D53" s="70">
        <v>190210042</v>
      </c>
      <c r="E53" s="67">
        <f t="shared" si="6"/>
        <v>0.18294957640575468</v>
      </c>
      <c r="F53" s="67">
        <f t="shared" si="7"/>
        <v>0.21163938519765782</v>
      </c>
    </row>
    <row r="54" spans="2:6" ht="15">
      <c r="B54" s="69" t="s">
        <v>176</v>
      </c>
      <c r="C54" s="70">
        <f>68945492+49589614</f>
        <v>118535106</v>
      </c>
      <c r="D54" s="70">
        <f>12084662+62236010</f>
        <v>74320672</v>
      </c>
      <c r="E54" s="67">
        <f t="shared" si="6"/>
        <v>0.1094947266690298</v>
      </c>
      <c r="F54" s="67">
        <f t="shared" si="7"/>
        <v>0.08269374825939411</v>
      </c>
    </row>
    <row r="55" spans="2:6" ht="15">
      <c r="B55" s="69" t="s">
        <v>177</v>
      </c>
      <c r="C55" s="70">
        <v>228125771</v>
      </c>
      <c r="D55" s="70">
        <f>21537352+110917360</f>
        <v>132454712</v>
      </c>
      <c r="E55" s="67">
        <f t="shared" si="6"/>
        <v>0.21072718272852167</v>
      </c>
      <c r="F55" s="67">
        <f t="shared" si="7"/>
        <v>0.14737725474143384</v>
      </c>
    </row>
    <row r="56" spans="2:6" ht="15">
      <c r="B56" s="69" t="s">
        <v>178</v>
      </c>
      <c r="C56" s="70">
        <v>46360950</v>
      </c>
      <c r="D56" s="70">
        <f>7292240+37555040</f>
        <v>44847280</v>
      </c>
      <c r="E56" s="67">
        <f t="shared" si="6"/>
        <v>0.04282511502007311</v>
      </c>
      <c r="F56" s="67">
        <f t="shared" si="7"/>
        <v>0.04989984055093798</v>
      </c>
    </row>
    <row r="57" spans="2:6" ht="15">
      <c r="B57" s="69" t="s">
        <v>179</v>
      </c>
      <c r="C57" s="70">
        <v>145619486</v>
      </c>
      <c r="D57" s="70">
        <f>8753060+45078260</f>
        <v>53831320</v>
      </c>
      <c r="E57" s="67">
        <f t="shared" si="6"/>
        <v>0.13451344800125806</v>
      </c>
      <c r="F57" s="67">
        <f t="shared" si="7"/>
        <v>0.05989603571602377</v>
      </c>
    </row>
    <row r="58" spans="2:6" ht="15">
      <c r="B58" s="69" t="s">
        <v>180</v>
      </c>
      <c r="C58" s="70">
        <v>68369594</v>
      </c>
      <c r="D58" s="70">
        <f>20104424+103537780</f>
        <v>123642204</v>
      </c>
      <c r="E58" s="67">
        <f t="shared" si="6"/>
        <v>0.06315521418188583</v>
      </c>
      <c r="F58" s="67">
        <f t="shared" si="7"/>
        <v>0.13757191662385201</v>
      </c>
    </row>
    <row r="59" spans="2:6" ht="15">
      <c r="B59" s="69" t="s">
        <v>181</v>
      </c>
      <c r="C59" s="70"/>
      <c r="D59" s="70">
        <v>8894073</v>
      </c>
      <c r="E59" s="67">
        <f t="shared" si="6"/>
        <v>0</v>
      </c>
      <c r="F59" s="67">
        <f t="shared" si="7"/>
        <v>0.009896092350492663</v>
      </c>
    </row>
    <row r="60" spans="2:6" ht="15">
      <c r="B60" s="34" t="s">
        <v>113</v>
      </c>
      <c r="C60" s="68">
        <f>SUM(C61:C62)</f>
        <v>838827196</v>
      </c>
      <c r="D60" s="68">
        <f>SUM(D61:D62)</f>
        <v>799445772</v>
      </c>
      <c r="E60" s="67"/>
      <c r="F60" s="67"/>
    </row>
    <row r="61" spans="2:6" ht="38.25">
      <c r="B61" s="69" t="s">
        <v>182</v>
      </c>
      <c r="C61" s="70">
        <v>660026228</v>
      </c>
      <c r="D61" s="70">
        <v>614402040</v>
      </c>
      <c r="E61" s="67">
        <f>+C61/$C$60</f>
        <v>0.7868440975058706</v>
      </c>
      <c r="F61" s="67">
        <f>+D61/$D$60</f>
        <v>0.7685349795057769</v>
      </c>
    </row>
    <row r="62" spans="2:6" ht="38.25">
      <c r="B62" s="69" t="s">
        <v>183</v>
      </c>
      <c r="C62" s="70">
        <v>178800968</v>
      </c>
      <c r="D62" s="70">
        <f>30088412+154955320</f>
        <v>185043732</v>
      </c>
      <c r="E62" s="67">
        <f>+C62/$C$60</f>
        <v>0.21315590249412944</v>
      </c>
      <c r="F62" s="67">
        <f>+D62/$D$60</f>
        <v>0.2314650204942231</v>
      </c>
    </row>
    <row r="63" spans="2:6" ht="15">
      <c r="B63" s="34" t="s">
        <v>114</v>
      </c>
      <c r="C63" s="68">
        <v>6711993168</v>
      </c>
      <c r="D63" s="68">
        <f>1188409617+6128596562</f>
        <v>7317006179</v>
      </c>
      <c r="E63" s="67"/>
      <c r="F63" s="67"/>
    </row>
    <row r="64" spans="2:10" ht="15">
      <c r="B64" s="34" t="s">
        <v>115</v>
      </c>
      <c r="C64" s="68">
        <f>SUM(C65:C67)</f>
        <v>10169776973</v>
      </c>
      <c r="D64" s="68">
        <f>SUM(D65:D67)</f>
        <v>10190818517</v>
      </c>
      <c r="E64" s="71"/>
      <c r="F64" s="71"/>
      <c r="G64" s="51"/>
      <c r="H64" s="51"/>
      <c r="I64" s="51"/>
      <c r="J64" s="51"/>
    </row>
    <row r="65" spans="2:10" ht="15">
      <c r="B65" s="69" t="s">
        <v>184</v>
      </c>
      <c r="C65" s="70">
        <v>42168359</v>
      </c>
      <c r="D65" s="70">
        <v>58241175</v>
      </c>
      <c r="E65" s="67">
        <f>+C65/$C$64</f>
        <v>0.00414643891522438</v>
      </c>
      <c r="F65" s="67">
        <f>+D65/$D$64</f>
        <v>0.005715063505727623</v>
      </c>
      <c r="G65" s="51"/>
      <c r="H65" s="51"/>
      <c r="I65" s="51"/>
      <c r="J65" s="51"/>
    </row>
    <row r="66" spans="2:10" ht="15">
      <c r="B66" s="69" t="s">
        <v>185</v>
      </c>
      <c r="C66" s="70">
        <v>5424629788</v>
      </c>
      <c r="D66" s="70">
        <v>5566578482</v>
      </c>
      <c r="E66" s="67">
        <f>+C66/$C$64</f>
        <v>0.5334069569472357</v>
      </c>
      <c r="F66" s="67">
        <f>+D66/$D$64</f>
        <v>0.5462346790607654</v>
      </c>
      <c r="G66" s="51"/>
      <c r="H66" s="51"/>
      <c r="I66" s="51"/>
      <c r="J66" s="51"/>
    </row>
    <row r="67" spans="2:10" ht="15">
      <c r="B67" s="69" t="s">
        <v>186</v>
      </c>
      <c r="C67" s="70">
        <v>4702978826</v>
      </c>
      <c r="D67" s="70">
        <v>4565998860</v>
      </c>
      <c r="E67" s="67"/>
      <c r="F67" s="67"/>
      <c r="G67" s="51"/>
      <c r="H67" s="51"/>
      <c r="I67" s="51"/>
      <c r="J67" s="51"/>
    </row>
    <row r="68" spans="2:10" ht="15">
      <c r="B68" s="34" t="s">
        <v>116</v>
      </c>
      <c r="C68" s="68">
        <f>SUM(C69:C70)</f>
        <v>368883688</v>
      </c>
      <c r="D68" s="68">
        <f>SUM(D69:D70)</f>
        <v>335901452</v>
      </c>
      <c r="E68" s="67"/>
      <c r="F68" s="67"/>
      <c r="G68" s="51"/>
      <c r="H68" s="51"/>
      <c r="I68" s="51"/>
      <c r="J68" s="51"/>
    </row>
    <row r="69" spans="2:10" ht="25.5">
      <c r="B69" s="69" t="s">
        <v>187</v>
      </c>
      <c r="C69" s="70">
        <v>304114694</v>
      </c>
      <c r="D69" s="70">
        <f>46409522+239009040</f>
        <v>285418562</v>
      </c>
      <c r="E69" s="67">
        <f>+C69/$C$68</f>
        <v>0.8244189263256335</v>
      </c>
      <c r="F69" s="67">
        <f>+D69/$D$68</f>
        <v>0.8497092236445587</v>
      </c>
      <c r="G69" s="51"/>
      <c r="H69" s="51"/>
      <c r="I69" s="51"/>
      <c r="J69" s="51"/>
    </row>
    <row r="70" spans="2:10" ht="38.25">
      <c r="B70" s="69" t="s">
        <v>188</v>
      </c>
      <c r="C70" s="70">
        <v>64768994</v>
      </c>
      <c r="D70" s="70">
        <f>8208600+42274290</f>
        <v>50482890</v>
      </c>
      <c r="E70" s="67">
        <f>+C70/$C$68</f>
        <v>0.17558107367436643</v>
      </c>
      <c r="F70" s="67">
        <f>+D70/$D$68</f>
        <v>0.1502907763554413</v>
      </c>
      <c r="G70" s="51"/>
      <c r="H70" s="51"/>
      <c r="I70" s="51"/>
      <c r="J70" s="51"/>
    </row>
    <row r="71" spans="2:10" ht="15">
      <c r="B71" s="34" t="s">
        <v>117</v>
      </c>
      <c r="C71" s="72"/>
      <c r="D71" s="70"/>
      <c r="E71" s="71"/>
      <c r="F71" s="71"/>
      <c r="G71" s="51"/>
      <c r="H71" s="51"/>
      <c r="I71" s="51"/>
      <c r="J71" s="51"/>
    </row>
    <row r="72" spans="2:10" ht="15">
      <c r="B72" s="34" t="s">
        <v>189</v>
      </c>
      <c r="C72" s="72"/>
      <c r="D72" s="68">
        <f>SUM(D73)</f>
        <v>64432976</v>
      </c>
      <c r="E72" s="71"/>
      <c r="F72" s="71"/>
      <c r="G72" s="51"/>
      <c r="H72" s="51"/>
      <c r="I72" s="51"/>
      <c r="J72" s="51"/>
    </row>
    <row r="73" spans="2:10" ht="15">
      <c r="B73" s="69" t="s">
        <v>190</v>
      </c>
      <c r="C73" s="73"/>
      <c r="D73" s="70">
        <v>64432976</v>
      </c>
      <c r="E73" s="71"/>
      <c r="F73" s="71">
        <f>+D73/D72</f>
        <v>1</v>
      </c>
      <c r="G73" s="51"/>
      <c r="H73" s="51"/>
      <c r="I73" s="51"/>
      <c r="J73" s="51"/>
    </row>
    <row r="74" spans="2:10" ht="15">
      <c r="B74" s="34" t="s">
        <v>191</v>
      </c>
      <c r="C74" s="72"/>
      <c r="D74" s="68">
        <f>SUM(D75)</f>
        <v>24835444</v>
      </c>
      <c r="E74" s="71"/>
      <c r="F74" s="71"/>
      <c r="G74" s="51"/>
      <c r="H74" s="51"/>
      <c r="I74" s="51"/>
      <c r="J74" s="51"/>
    </row>
    <row r="75" spans="2:10" ht="25.5">
      <c r="B75" s="69" t="s">
        <v>192</v>
      </c>
      <c r="C75" s="73"/>
      <c r="D75" s="70">
        <v>24835444</v>
      </c>
      <c r="E75" s="71"/>
      <c r="F75" s="71">
        <f>+D75/D74</f>
        <v>1</v>
      </c>
      <c r="G75" s="51"/>
      <c r="H75" s="51"/>
      <c r="I75" s="51"/>
      <c r="J75" s="51"/>
    </row>
    <row r="76" spans="2:10" ht="15">
      <c r="B76" s="34" t="s">
        <v>118</v>
      </c>
      <c r="C76" s="68">
        <f>SUM(C77:C79)</f>
        <v>30006171</v>
      </c>
      <c r="D76" s="68">
        <f>SUM(D77:D79)</f>
        <v>17751122</v>
      </c>
      <c r="E76" s="71"/>
      <c r="F76" s="71"/>
      <c r="G76" s="51"/>
      <c r="H76" s="51"/>
      <c r="I76" s="51"/>
      <c r="J76" s="51"/>
    </row>
    <row r="77" spans="2:10" ht="15">
      <c r="B77" s="69" t="s">
        <v>193</v>
      </c>
      <c r="C77" s="70">
        <v>13696000</v>
      </c>
      <c r="D77" s="70">
        <v>5609230</v>
      </c>
      <c r="E77" s="71">
        <f>+C77/$C$76</f>
        <v>0.4564394437397561</v>
      </c>
      <c r="F77" s="71">
        <f>+D77/$D$76</f>
        <v>0.3159929834294418</v>
      </c>
      <c r="G77" s="51"/>
      <c r="H77" s="51"/>
      <c r="I77" s="51"/>
      <c r="J77" s="51"/>
    </row>
    <row r="78" spans="2:10" ht="15">
      <c r="B78" s="69" t="s">
        <v>194</v>
      </c>
      <c r="C78" s="70">
        <v>5703736</v>
      </c>
      <c r="D78" s="70">
        <v>8304527</v>
      </c>
      <c r="E78" s="71">
        <f>+C78/$C$76</f>
        <v>0.19008543275981463</v>
      </c>
      <c r="F78" s="71">
        <f>+D78/$D$76</f>
        <v>0.46783110385923776</v>
      </c>
      <c r="G78" s="51"/>
      <c r="H78" s="51"/>
      <c r="I78" s="51"/>
      <c r="J78" s="51"/>
    </row>
    <row r="79" spans="2:10" ht="15">
      <c r="B79" s="69" t="s">
        <v>195</v>
      </c>
      <c r="C79" s="70">
        <v>10606435</v>
      </c>
      <c r="D79" s="70">
        <v>3837365</v>
      </c>
      <c r="E79" s="71">
        <f>+C79/$C$76</f>
        <v>0.3534751235004293</v>
      </c>
      <c r="F79" s="71">
        <f>+D79/$D$76</f>
        <v>0.21617591271132044</v>
      </c>
      <c r="G79" s="51"/>
      <c r="H79" s="51"/>
      <c r="I79" s="51"/>
      <c r="J79" s="51"/>
    </row>
    <row r="80" spans="2:10" ht="15">
      <c r="B80" s="66" t="s">
        <v>119</v>
      </c>
      <c r="C80" s="74"/>
      <c r="D80" s="68"/>
      <c r="E80" s="71"/>
      <c r="F80" s="71"/>
      <c r="G80" s="51"/>
      <c r="H80" s="51"/>
      <c r="I80" s="51"/>
      <c r="J80" s="51"/>
    </row>
    <row r="81" spans="2:10" ht="15">
      <c r="B81" s="66" t="s">
        <v>120</v>
      </c>
      <c r="C81" s="74"/>
      <c r="D81" s="68"/>
      <c r="E81" s="71"/>
      <c r="F81" s="71"/>
      <c r="G81" s="51"/>
      <c r="H81" s="51"/>
      <c r="I81" s="51"/>
      <c r="J81" s="51"/>
    </row>
    <row r="82" spans="2:10" ht="15">
      <c r="B82" s="66" t="s">
        <v>121</v>
      </c>
      <c r="C82" s="74"/>
      <c r="D82" s="68"/>
      <c r="E82" s="71"/>
      <c r="F82" s="71"/>
      <c r="G82" s="51"/>
      <c r="H82" s="51"/>
      <c r="I82" s="51"/>
      <c r="J82" s="51"/>
    </row>
    <row r="83" spans="2:10" ht="15">
      <c r="B83" s="34" t="s">
        <v>196</v>
      </c>
      <c r="C83" s="68">
        <f>SUM(C84:C85)</f>
        <v>23547622400</v>
      </c>
      <c r="D83" s="68">
        <f>SUM(D84:D85)</f>
        <v>23003373394</v>
      </c>
      <c r="E83" s="71"/>
      <c r="F83" s="71"/>
      <c r="G83" s="51"/>
      <c r="H83" s="51"/>
      <c r="I83" s="51"/>
      <c r="J83" s="51"/>
    </row>
    <row r="84" spans="2:10" ht="15">
      <c r="B84" s="34" t="s">
        <v>123</v>
      </c>
      <c r="C84" s="70">
        <v>22549621704</v>
      </c>
      <c r="D84" s="70">
        <v>21423064994</v>
      </c>
      <c r="E84" s="71">
        <f>+C84/C83</f>
        <v>0.957617772229947</v>
      </c>
      <c r="F84" s="71">
        <f>+D84/D83</f>
        <v>0.9313010151627502</v>
      </c>
      <c r="G84" s="51"/>
      <c r="H84" s="51"/>
      <c r="I84" s="51"/>
      <c r="J84" s="51"/>
    </row>
    <row r="85" spans="2:10" ht="15">
      <c r="B85" s="69" t="s">
        <v>197</v>
      </c>
      <c r="C85" s="75">
        <v>998000696</v>
      </c>
      <c r="D85" s="70">
        <f>409692800+1170615600</f>
        <v>1580308400</v>
      </c>
      <c r="E85" s="71">
        <f>+C85/C83</f>
        <v>0.04238222777005291</v>
      </c>
      <c r="F85" s="71">
        <f>+D85/D83</f>
        <v>0.06869898483724973</v>
      </c>
      <c r="G85" s="51"/>
      <c r="H85" s="51"/>
      <c r="I85" s="51"/>
      <c r="J85" s="51"/>
    </row>
    <row r="86" spans="2:10" ht="15">
      <c r="B86" s="66" t="s">
        <v>124</v>
      </c>
      <c r="C86" s="74"/>
      <c r="D86" s="68"/>
      <c r="E86" s="71"/>
      <c r="F86" s="71"/>
      <c r="G86" s="51"/>
      <c r="H86" s="51"/>
      <c r="I86" s="51"/>
      <c r="J86" s="51"/>
    </row>
    <row r="87" spans="2:10" ht="15">
      <c r="B87" s="76" t="s">
        <v>125</v>
      </c>
      <c r="C87" s="68">
        <f>C6+C8+C15+C18+C26+C29+C33+C38+C45+C48+C60+C63+C64+C68+C71+C72+C74+C76+C80+C81+C82+C83+C86</f>
        <v>47060747290</v>
      </c>
      <c r="D87" s="68">
        <f>D6+D8+D15+D18+D26+D29+D33+D38+D45+D48+D60+D63+D64+D68+D71+D72+D74+D76+D80+D81+D82+D83+D86</f>
        <v>46556882641</v>
      </c>
      <c r="E87" s="77"/>
      <c r="F87" s="77"/>
      <c r="G87" s="51"/>
      <c r="H87" s="51"/>
      <c r="I87" s="51"/>
      <c r="J87" s="51"/>
    </row>
    <row r="88" spans="2:10" ht="25.5" customHeight="1">
      <c r="B88" s="28"/>
      <c r="C88" s="28"/>
      <c r="D88" s="29"/>
      <c r="E88" s="58"/>
      <c r="F88" s="51"/>
      <c r="G88" s="51"/>
      <c r="H88" s="51"/>
      <c r="I88" s="51"/>
      <c r="J88" s="51"/>
    </row>
    <row r="89" spans="2:10" ht="15">
      <c r="B89" s="152" t="s">
        <v>126</v>
      </c>
      <c r="C89" s="152"/>
      <c r="D89" s="152"/>
      <c r="E89" s="51"/>
      <c r="F89" s="51"/>
      <c r="G89" s="51"/>
      <c r="H89" s="51"/>
      <c r="I89" s="51"/>
      <c r="J89" s="51"/>
    </row>
    <row r="90" spans="2:10" ht="15">
      <c r="B90" s="59" t="s">
        <v>105</v>
      </c>
      <c r="C90" s="59"/>
      <c r="D90" s="52" t="s">
        <v>198</v>
      </c>
      <c r="E90" s="51"/>
      <c r="F90" s="51"/>
      <c r="G90" s="51"/>
      <c r="H90" s="51"/>
      <c r="I90" s="51"/>
      <c r="J90" s="51"/>
    </row>
    <row r="91" spans="2:10" ht="25.5">
      <c r="B91" s="53" t="s">
        <v>127</v>
      </c>
      <c r="C91" s="60"/>
      <c r="D91" s="61">
        <f>SUM(D92:D98)</f>
        <v>1690959649</v>
      </c>
      <c r="E91" s="51"/>
      <c r="F91" s="51"/>
      <c r="G91" s="51"/>
      <c r="H91" s="51"/>
      <c r="I91" s="51"/>
      <c r="J91" s="51"/>
    </row>
    <row r="92" spans="2:10" ht="25.5">
      <c r="B92" s="54" t="s">
        <v>199</v>
      </c>
      <c r="C92" s="54"/>
      <c r="D92" s="52">
        <v>450217441</v>
      </c>
      <c r="E92" s="51"/>
      <c r="F92" s="51"/>
      <c r="G92" s="51"/>
      <c r="H92" s="51"/>
      <c r="I92" s="51"/>
      <c r="J92" s="51"/>
    </row>
    <row r="93" spans="2:10" ht="25.5">
      <c r="B93" s="54" t="s">
        <v>200</v>
      </c>
      <c r="C93" s="54"/>
      <c r="D93" s="52">
        <v>64233913</v>
      </c>
      <c r="E93" s="51"/>
      <c r="F93" s="51"/>
      <c r="G93" s="51"/>
      <c r="H93" s="51"/>
      <c r="I93" s="51"/>
      <c r="J93" s="51"/>
    </row>
    <row r="94" spans="2:10" ht="51">
      <c r="B94" s="54" t="s">
        <v>201</v>
      </c>
      <c r="C94" s="54"/>
      <c r="D94" s="52">
        <v>55765147</v>
      </c>
      <c r="E94" s="51"/>
      <c r="F94" s="51"/>
      <c r="G94" s="51"/>
      <c r="H94" s="51"/>
      <c r="I94" s="51"/>
      <c r="J94" s="51"/>
    </row>
    <row r="95" spans="2:10" ht="15">
      <c r="B95" s="54" t="s">
        <v>202</v>
      </c>
      <c r="C95" s="54"/>
      <c r="D95" s="52">
        <v>644192506</v>
      </c>
      <c r="E95" s="51"/>
      <c r="F95" s="51"/>
      <c r="G95" s="51"/>
      <c r="H95" s="51"/>
      <c r="I95" s="51"/>
      <c r="J95" s="51"/>
    </row>
    <row r="96" spans="2:10" ht="51">
      <c r="B96" s="54" t="s">
        <v>203</v>
      </c>
      <c r="C96" s="54"/>
      <c r="D96" s="52">
        <v>54222885</v>
      </c>
      <c r="E96" s="51"/>
      <c r="F96" s="51"/>
      <c r="G96" s="51"/>
      <c r="H96" s="51"/>
      <c r="I96" s="51"/>
      <c r="J96" s="51"/>
    </row>
    <row r="97" spans="2:10" ht="25.5">
      <c r="B97" s="54" t="s">
        <v>204</v>
      </c>
      <c r="C97" s="54"/>
      <c r="D97" s="52">
        <v>364183870</v>
      </c>
      <c r="E97" s="51"/>
      <c r="F97" s="51"/>
      <c r="G97" s="51"/>
      <c r="H97" s="51"/>
      <c r="I97" s="51"/>
      <c r="J97" s="51"/>
    </row>
    <row r="98" spans="2:10" ht="15">
      <c r="B98" s="54" t="s">
        <v>170</v>
      </c>
      <c r="C98" s="54"/>
      <c r="D98" s="52">
        <v>58143887</v>
      </c>
      <c r="E98" s="51"/>
      <c r="F98" s="51"/>
      <c r="G98" s="51"/>
      <c r="H98" s="51"/>
      <c r="I98" s="51"/>
      <c r="J98" s="51"/>
    </row>
    <row r="99" spans="2:10" ht="15">
      <c r="B99" s="62" t="s">
        <v>125</v>
      </c>
      <c r="C99" s="62"/>
      <c r="D99" s="63">
        <f>SUM(D91:D98)</f>
        <v>3381919298</v>
      </c>
      <c r="E99" s="51"/>
      <c r="F99" s="51"/>
      <c r="G99" s="51"/>
      <c r="H99" s="51"/>
      <c r="I99" s="51"/>
      <c r="J99" s="51"/>
    </row>
    <row r="100" spans="2:10" ht="15">
      <c r="B100" s="30"/>
      <c r="C100" s="30"/>
      <c r="D100" s="31"/>
      <c r="E100" s="51"/>
      <c r="F100" s="51"/>
      <c r="G100" s="51"/>
      <c r="H100" s="51"/>
      <c r="I100" s="51"/>
      <c r="J100" s="51"/>
    </row>
    <row r="101" spans="2:10" ht="15">
      <c r="B101" s="32"/>
      <c r="C101" s="32"/>
      <c r="D101" s="33"/>
      <c r="E101" s="51"/>
      <c r="F101" s="51"/>
      <c r="G101" s="51"/>
      <c r="H101" s="51"/>
      <c r="I101" s="51"/>
      <c r="J101" s="51"/>
    </row>
    <row r="102" spans="2:10" ht="15">
      <c r="B102" s="30"/>
      <c r="C102" s="30"/>
      <c r="D102" s="31"/>
      <c r="E102" s="51"/>
      <c r="F102" s="51"/>
      <c r="G102" s="51"/>
      <c r="H102" s="51"/>
      <c r="I102" s="51"/>
      <c r="J102" s="51"/>
    </row>
  </sheetData>
  <sheetProtection/>
  <mergeCells count="2">
    <mergeCell ref="B2:D3"/>
    <mergeCell ref="B89:D8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Yaneth Villa Matinez</cp:lastModifiedBy>
  <cp:lastPrinted>2017-01-05T15:59:55Z</cp:lastPrinted>
  <dcterms:created xsi:type="dcterms:W3CDTF">2012-12-10T15:58:41Z</dcterms:created>
  <dcterms:modified xsi:type="dcterms:W3CDTF">2018-02-15T22:33:56Z</dcterms:modified>
  <cp:category/>
  <cp:version/>
  <cp:contentType/>
  <cp:contentStatus/>
</cp:coreProperties>
</file>