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11232" yWindow="0" windowWidth="22104" windowHeight="9384" firstSheet="50" activeTab="51"/>
  </bookViews>
  <sheets>
    <sheet name="POR ELEMENTO" sheetId="84" r:id="rId1"/>
    <sheet name="POR SECCIONAL" sheetId="85" r:id="rId2"/>
    <sheet name="CONSOLIDADO" sheetId="1" r:id="rId3"/>
    <sheet name="ADECUACIONES" sheetId="59" r:id="rId4"/>
    <sheet name="ALCOHOL" sheetId="86" r:id="rId5"/>
    <sheet name="ALCOHOL GLICERINADO" sheetId="87" r:id="rId6"/>
    <sheet name="ALQUILER COMPUTADORES" sheetId="88" r:id="rId7"/>
    <sheet name="ALQUILER ESCANNER" sheetId="89" r:id="rId8"/>
    <sheet name="AMONIO" sheetId="23" r:id="rId9"/>
    <sheet name="AREAS PROTEGIDAS" sheetId="24" r:id="rId10"/>
    <sheet name="ATOMIZADOR" sheetId="25" r:id="rId11"/>
    <sheet name="AUXILIARES ASEO" sheetId="90" r:id="rId12"/>
    <sheet name="BATAS" sheetId="27" r:id="rId13"/>
    <sheet name="BAYETILLAS" sheetId="28" r:id="rId14"/>
    <sheet name="BIDON" sheetId="42" r:id="rId15"/>
    <sheet name="BLANQUEADOR" sheetId="29" r:id="rId16"/>
    <sheet name="BOLSAS" sheetId="30" r:id="rId17"/>
    <sheet name="CANECAS" sheetId="31" r:id="rId18"/>
    <sheet name="CARETAS" sheetId="32" r:id="rId19"/>
    <sheet name="COMPUTADORES" sheetId="33" r:id="rId20"/>
    <sheet name="CONSUTORIA" sheetId="34" r:id="rId21"/>
    <sheet name="DESINFECTANTE" sheetId="35" r:id="rId22"/>
    <sheet name="DIADEMAS" sheetId="37" r:id="rId23"/>
    <sheet name="DISPENSADORES" sheetId="73" r:id="rId24"/>
    <sheet name="DIVISIONES" sheetId="39" r:id="rId25"/>
    <sheet name="ESCANNER DE MANO" sheetId="40" r:id="rId26"/>
    <sheet name="GAFAS" sheetId="41" r:id="rId27"/>
    <sheet name="GEL" sheetId="82" r:id="rId28"/>
    <sheet name="GUANES DE LATEX" sheetId="81" r:id="rId29"/>
    <sheet name="GUANTES DE NITRILO" sheetId="80" r:id="rId30"/>
    <sheet name="GUANTES NITILSAFE" sheetId="46" r:id="rId31"/>
    <sheet name="INSTALACION" sheetId="47" r:id="rId32"/>
    <sheet name="INTERCOMUNICADOR" sheetId="48" r:id="rId33"/>
    <sheet name="JABON LIQUIDO" sheetId="91" r:id="rId34"/>
    <sheet name="LAVAMANOS" sheetId="50" r:id="rId35"/>
    <sheet name="LECTORA CODIGO" sheetId="51" r:id="rId36"/>
    <sheet name="LICENCIA SW" sheetId="52" r:id="rId37"/>
    <sheet name="MONOGAFAS" sheetId="53" r:id="rId38"/>
    <sheet name="PAÑOS DE LIMPIEZA" sheetId="54" r:id="rId39"/>
    <sheet name="PAPEL HIG" sheetId="55" r:id="rId40"/>
    <sheet name="PARLANTES" sheetId="56" r:id="rId41"/>
    <sheet name="PILAS" sheetId="57" r:id="rId42"/>
    <sheet name="PROFESIONALES BASES DAT" sheetId="58" r:id="rId43"/>
    <sheet name="SEÑALIZACION" sheetId="60" r:id="rId44"/>
    <sheet name="SERV. DESINFECCION" sheetId="61" r:id="rId45"/>
    <sheet name="TAPABOCAS" sheetId="76" r:id="rId46"/>
    <sheet name="TAPETES DESINF." sheetId="64" r:id="rId47"/>
    <sheet name="TERMOMETROS" sheetId="65" r:id="rId48"/>
    <sheet name="TOALLA PAPEL PAQ" sheetId="79" r:id="rId49"/>
    <sheet name="TOALLA PAPEL ROLLO" sheetId="78" r:id="rId50"/>
    <sheet name="TRAJES PROTECCION" sheetId="67" r:id="rId51"/>
    <sheet name="VIGIAS DE LA SALUD" sheetId="92" r:id="rId52"/>
    <sheet name="VIGILANCIA TEMPERATURA" sheetId="69" r:id="rId53"/>
    <sheet name="VINAGRE" sheetId="70" r:id="rId54"/>
    <sheet name="VINIPEL" sheetId="71" r:id="rId55"/>
    <sheet name="WEBCAM" sheetId="72" r:id="rId56"/>
  </sheets>
  <definedNames>
    <definedName name="_xlnm._FilterDatabase" localSheetId="2" hidden="1">CONSOLIDADO!$A$1:$P$684</definedName>
  </definedNames>
  <calcPr calcId="152511"/>
  <pivotCaches>
    <pivotCache cacheId="17" r:id="rId5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4" i="92" l="1"/>
  <c r="O34" i="92" s="1"/>
  <c r="O33" i="92"/>
  <c r="O32" i="92"/>
  <c r="O31" i="92"/>
  <c r="O30" i="92"/>
  <c r="O29" i="92"/>
  <c r="O28" i="92"/>
  <c r="O27" i="92"/>
  <c r="O26" i="92"/>
  <c r="O25" i="92"/>
  <c r="O24" i="92"/>
  <c r="O23" i="92"/>
  <c r="O22" i="92"/>
  <c r="O21" i="92"/>
  <c r="O20" i="92"/>
  <c r="O19" i="92"/>
  <c r="O18" i="92"/>
  <c r="O17" i="92"/>
  <c r="O16" i="92"/>
  <c r="O15" i="92"/>
  <c r="O14" i="92"/>
  <c r="O13" i="92"/>
  <c r="O12" i="92"/>
  <c r="O11" i="92"/>
  <c r="O10" i="92"/>
  <c r="O9" i="92"/>
  <c r="M8" i="92"/>
  <c r="O8" i="92" s="1"/>
  <c r="O7" i="92"/>
  <c r="O6" i="92"/>
  <c r="O5" i="92"/>
  <c r="O4" i="92"/>
  <c r="N3" i="92"/>
  <c r="O3" i="92" s="1"/>
  <c r="O2" i="92"/>
  <c r="K128" i="1"/>
  <c r="O4" i="67"/>
  <c r="O6" i="79"/>
  <c r="O8" i="79"/>
  <c r="O5" i="79"/>
  <c r="O4" i="79"/>
  <c r="O3" i="79"/>
  <c r="O13" i="65"/>
  <c r="O12" i="65"/>
  <c r="O10" i="65"/>
  <c r="O9" i="65"/>
  <c r="O8" i="65"/>
  <c r="O3" i="65"/>
  <c r="O2" i="65"/>
  <c r="O36" i="76"/>
  <c r="O33" i="76"/>
  <c r="O32" i="76"/>
  <c r="O2" i="60"/>
  <c r="O3" i="60"/>
  <c r="O4" i="60"/>
  <c r="O5" i="60"/>
  <c r="O6" i="60"/>
  <c r="O5" i="58"/>
  <c r="O4" i="58"/>
  <c r="O3" i="58"/>
  <c r="O2" i="58"/>
  <c r="O2" i="55"/>
  <c r="O3" i="53"/>
  <c r="O2" i="52"/>
  <c r="O6" i="50"/>
  <c r="O5" i="50"/>
  <c r="M34" i="91"/>
  <c r="O34" i="91" s="1"/>
  <c r="K34" i="91"/>
  <c r="K33" i="91"/>
  <c r="O33" i="91" s="1"/>
  <c r="O32" i="91"/>
  <c r="O31" i="91"/>
  <c r="O30" i="91"/>
  <c r="O29" i="91"/>
  <c r="O28" i="91"/>
  <c r="O27" i="91"/>
  <c r="M26" i="91"/>
  <c r="O25" i="91"/>
  <c r="N25" i="91"/>
  <c r="N24" i="91"/>
  <c r="O24" i="91" s="1"/>
  <c r="M24" i="91"/>
  <c r="O23" i="91"/>
  <c r="O22" i="91"/>
  <c r="O21" i="91"/>
  <c r="O20" i="91"/>
  <c r="O19" i="91"/>
  <c r="O18" i="91"/>
  <c r="O17" i="91"/>
  <c r="O16" i="91"/>
  <c r="N15" i="91"/>
  <c r="O15" i="91" s="1"/>
  <c r="N14" i="91"/>
  <c r="M14" i="91"/>
  <c r="O14" i="91" s="1"/>
  <c r="M13" i="91"/>
  <c r="O13" i="91" s="1"/>
  <c r="O12" i="91"/>
  <c r="K11" i="91"/>
  <c r="O11" i="91" s="1"/>
  <c r="K10" i="91"/>
  <c r="O10" i="91" s="1"/>
  <c r="O9" i="91"/>
  <c r="O8" i="91"/>
  <c r="O7" i="91"/>
  <c r="M6" i="91"/>
  <c r="O6" i="91" s="1"/>
  <c r="M5" i="91"/>
  <c r="K5" i="91"/>
  <c r="O5" i="91" s="1"/>
  <c r="M4" i="91"/>
  <c r="K4" i="91"/>
  <c r="O4" i="91" s="1"/>
  <c r="M3" i="91"/>
  <c r="N3" i="91" s="1"/>
  <c r="K3" i="91"/>
  <c r="O3" i="91" s="1"/>
  <c r="O2" i="91"/>
  <c r="N2" i="91"/>
  <c r="M269" i="1"/>
  <c r="M228" i="1"/>
  <c r="M25" i="1"/>
  <c r="K25" i="1"/>
  <c r="O21" i="80"/>
  <c r="O12" i="80"/>
  <c r="O11" i="80"/>
  <c r="O10" i="80"/>
  <c r="O9" i="80"/>
  <c r="O4" i="80"/>
  <c r="O3" i="80"/>
  <c r="O4" i="81"/>
  <c r="O5" i="81"/>
  <c r="O9" i="81"/>
  <c r="O2" i="40"/>
  <c r="O12" i="73"/>
  <c r="O4" i="73"/>
  <c r="O3" i="73"/>
  <c r="O2" i="35"/>
  <c r="O3" i="35"/>
  <c r="O4" i="35"/>
  <c r="O5" i="35"/>
  <c r="O6" i="35"/>
  <c r="O7" i="35"/>
  <c r="O8" i="35"/>
  <c r="O2" i="33"/>
  <c r="O12" i="32"/>
  <c r="O11" i="32"/>
  <c r="O10" i="32"/>
  <c r="O9" i="32"/>
  <c r="O8" i="32"/>
  <c r="O3" i="32"/>
  <c r="O14" i="31"/>
  <c r="O13" i="31"/>
  <c r="O12" i="31"/>
  <c r="O11" i="31"/>
  <c r="O10" i="31"/>
  <c r="O9" i="31"/>
  <c r="O8" i="31"/>
  <c r="O7" i="31"/>
  <c r="O6" i="31"/>
  <c r="O5" i="31"/>
  <c r="O4" i="31"/>
  <c r="O3" i="31"/>
  <c r="O3" i="27"/>
  <c r="O5" i="90"/>
  <c r="O4" i="90"/>
  <c r="O3" i="90"/>
  <c r="N2" i="90"/>
  <c r="O2" i="90" s="1"/>
  <c r="O3" i="24"/>
  <c r="O2" i="24"/>
  <c r="N5" i="89"/>
  <c r="O5" i="89" s="1"/>
  <c r="N4" i="89"/>
  <c r="O4" i="89" s="1"/>
  <c r="N3" i="89"/>
  <c r="O3" i="89" s="1"/>
  <c r="O2" i="89"/>
  <c r="N2" i="89"/>
  <c r="M2" i="89"/>
  <c r="N4" i="88"/>
  <c r="O4" i="88" s="1"/>
  <c r="N3" i="88"/>
  <c r="O3" i="88" s="1"/>
  <c r="N2" i="88"/>
  <c r="O2" i="88" s="1"/>
  <c r="O5" i="87"/>
  <c r="O4" i="87"/>
  <c r="O3" i="87"/>
  <c r="O2" i="87"/>
  <c r="M29" i="86"/>
  <c r="O29" i="86" s="1"/>
  <c r="K29" i="86"/>
  <c r="O28" i="86"/>
  <c r="O27" i="86"/>
  <c r="O26" i="86"/>
  <c r="O25" i="86"/>
  <c r="O24" i="86"/>
  <c r="O23" i="86"/>
  <c r="O22" i="86"/>
  <c r="O21" i="86"/>
  <c r="O20" i="86"/>
  <c r="O19" i="86"/>
  <c r="O18" i="86"/>
  <c r="O17" i="86"/>
  <c r="O16" i="86"/>
  <c r="O15" i="86"/>
  <c r="O14" i="86"/>
  <c r="O13" i="86"/>
  <c r="N12" i="86"/>
  <c r="O12" i="86" s="1"/>
  <c r="O11" i="86"/>
  <c r="O10" i="86"/>
  <c r="O9" i="86"/>
  <c r="O8" i="86"/>
  <c r="O7" i="86"/>
  <c r="O6" i="86"/>
  <c r="M5" i="86"/>
  <c r="K5" i="86"/>
  <c r="O5" i="86" s="1"/>
  <c r="O4" i="86"/>
  <c r="M3" i="86"/>
  <c r="K3" i="86"/>
  <c r="O3" i="86" s="1"/>
  <c r="M2" i="86"/>
  <c r="K2" i="86"/>
  <c r="O2" i="86" s="1"/>
  <c r="O46" i="82"/>
  <c r="N45" i="82"/>
  <c r="O45" i="82" s="1"/>
  <c r="M45" i="82"/>
  <c r="O44" i="82"/>
  <c r="O43" i="82"/>
  <c r="N42" i="82"/>
  <c r="O42" i="82" s="1"/>
  <c r="O41" i="82"/>
  <c r="N41" i="82"/>
  <c r="O40" i="82"/>
  <c r="O39" i="82"/>
  <c r="O38" i="82"/>
  <c r="O37" i="82"/>
  <c r="O36" i="82"/>
  <c r="O35" i="82"/>
  <c r="O34" i="82"/>
  <c r="O33" i="82"/>
  <c r="O32" i="82"/>
  <c r="O31" i="82"/>
  <c r="O30" i="82"/>
  <c r="M29" i="82"/>
  <c r="O29" i="82" s="1"/>
  <c r="O28" i="82"/>
  <c r="O27" i="82"/>
  <c r="O26" i="82"/>
  <c r="O25" i="82"/>
  <c r="N24" i="82"/>
  <c r="O24" i="82" s="1"/>
  <c r="O23" i="82"/>
  <c r="N22" i="82"/>
  <c r="O22" i="82" s="1"/>
  <c r="O21" i="82"/>
  <c r="N21" i="82"/>
  <c r="O20" i="82"/>
  <c r="N20" i="82"/>
  <c r="O19" i="82"/>
  <c r="O18" i="82"/>
  <c r="O17" i="82"/>
  <c r="O16" i="82"/>
  <c r="O15" i="82"/>
  <c r="K14" i="82"/>
  <c r="O14" i="82" s="1"/>
  <c r="M13" i="82"/>
  <c r="K13" i="82"/>
  <c r="O13" i="82" s="1"/>
  <c r="O12" i="82"/>
  <c r="O11" i="82"/>
  <c r="O10" i="82"/>
  <c r="O9" i="82"/>
  <c r="O8" i="82"/>
  <c r="M8" i="82"/>
  <c r="O7" i="82"/>
  <c r="M6" i="82"/>
  <c r="O6" i="82" s="1"/>
  <c r="O5" i="82"/>
  <c r="M5" i="82"/>
  <c r="O4" i="82"/>
  <c r="O3" i="82"/>
  <c r="N3" i="82"/>
  <c r="N2" i="82"/>
  <c r="O2" i="82" s="1"/>
  <c r="N128" i="1"/>
  <c r="O128" i="1" s="1"/>
  <c r="O643" i="1"/>
  <c r="O642" i="1"/>
  <c r="O641" i="1"/>
  <c r="O640" i="1"/>
  <c r="O639" i="1"/>
  <c r="O638" i="1"/>
  <c r="O637" i="1"/>
  <c r="O636" i="1"/>
  <c r="O635" i="1"/>
  <c r="O634" i="1"/>
  <c r="O345" i="1"/>
  <c r="O302" i="1"/>
  <c r="O231" i="1"/>
  <c r="O225" i="1"/>
  <c r="O224" i="1"/>
  <c r="O223" i="1"/>
  <c r="M176" i="1"/>
  <c r="O170" i="1"/>
  <c r="O123" i="1"/>
  <c r="O53" i="1"/>
  <c r="O52" i="1"/>
  <c r="O51" i="1"/>
  <c r="O50" i="1"/>
  <c r="O41" i="1"/>
  <c r="O40" i="1"/>
  <c r="O8" i="1"/>
  <c r="O684" i="1"/>
  <c r="O683" i="1"/>
  <c r="O682" i="1"/>
  <c r="O681" i="1"/>
  <c r="O678" i="1"/>
  <c r="O677" i="1"/>
  <c r="O676" i="1"/>
  <c r="O675" i="1"/>
  <c r="O674" i="1"/>
  <c r="O673" i="1"/>
  <c r="O672" i="1"/>
  <c r="O671" i="1"/>
  <c r="O670" i="1"/>
  <c r="O668" i="1"/>
  <c r="O667" i="1"/>
  <c r="O662" i="1"/>
  <c r="O661" i="1"/>
  <c r="O660" i="1"/>
  <c r="O658" i="1"/>
  <c r="O657" i="1"/>
  <c r="O656" i="1"/>
  <c r="O654" i="1"/>
  <c r="O650" i="1"/>
  <c r="O647" i="1"/>
  <c r="O646" i="1"/>
  <c r="O633" i="1"/>
  <c r="O632" i="1"/>
  <c r="O630" i="1"/>
  <c r="O629" i="1"/>
  <c r="O628" i="1"/>
  <c r="O626" i="1"/>
  <c r="O623" i="1"/>
  <c r="O617" i="1"/>
  <c r="O616" i="1"/>
  <c r="O615" i="1"/>
  <c r="O614" i="1"/>
  <c r="O613" i="1"/>
  <c r="O611" i="1"/>
  <c r="O610" i="1"/>
  <c r="O608" i="1"/>
  <c r="O607" i="1"/>
  <c r="O606" i="1"/>
  <c r="O605" i="1"/>
  <c r="O604" i="1"/>
  <c r="O603" i="1"/>
  <c r="O602" i="1"/>
  <c r="O600" i="1"/>
  <c r="O599" i="1"/>
  <c r="O598" i="1"/>
  <c r="O596" i="1"/>
  <c r="O595" i="1"/>
  <c r="O586" i="1"/>
  <c r="O585" i="1"/>
  <c r="O583" i="1"/>
  <c r="O582" i="1"/>
  <c r="O581" i="1"/>
  <c r="O580" i="1"/>
  <c r="O579" i="1"/>
  <c r="O578" i="1"/>
  <c r="O576" i="1"/>
  <c r="O574" i="1"/>
  <c r="O568" i="1"/>
  <c r="O567" i="1"/>
  <c r="O566" i="1"/>
  <c r="O565" i="1"/>
  <c r="O564" i="1"/>
  <c r="O563" i="1"/>
  <c r="O562" i="1"/>
  <c r="O561" i="1"/>
  <c r="O560" i="1"/>
  <c r="O559" i="1"/>
  <c r="O558" i="1"/>
  <c r="O557" i="1"/>
  <c r="O556" i="1"/>
  <c r="O554" i="1"/>
  <c r="O553" i="1"/>
  <c r="O552" i="1"/>
  <c r="O551" i="1"/>
  <c r="O550" i="1"/>
  <c r="O549" i="1"/>
  <c r="O548" i="1"/>
  <c r="O547" i="1"/>
  <c r="O546" i="1"/>
  <c r="O545" i="1"/>
  <c r="O544" i="1"/>
  <c r="O542" i="1"/>
  <c r="O541" i="1"/>
  <c r="O540" i="1"/>
  <c r="O539" i="1"/>
  <c r="O538" i="1"/>
  <c r="O537" i="1"/>
  <c r="O536" i="1"/>
  <c r="O535" i="1"/>
  <c r="O534" i="1"/>
  <c r="O533" i="1"/>
  <c r="O530" i="1"/>
  <c r="O529" i="1"/>
  <c r="O528" i="1"/>
  <c r="O527" i="1"/>
  <c r="O520" i="1"/>
  <c r="O519" i="1"/>
  <c r="O518" i="1"/>
  <c r="O516" i="1"/>
  <c r="O515" i="1"/>
  <c r="O512" i="1"/>
  <c r="O511" i="1"/>
  <c r="O510" i="1"/>
  <c r="O505" i="1"/>
  <c r="O504" i="1"/>
  <c r="O503" i="1"/>
  <c r="O502"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0" i="1"/>
  <c r="O379" i="1"/>
  <c r="O377" i="1"/>
  <c r="O376" i="1"/>
  <c r="O375" i="1"/>
  <c r="O374" i="1"/>
  <c r="O373" i="1"/>
  <c r="O372" i="1"/>
  <c r="O371" i="1"/>
  <c r="O370" i="1"/>
  <c r="O369" i="1"/>
  <c r="O368" i="1"/>
  <c r="O367" i="1"/>
  <c r="O366" i="1"/>
  <c r="O365" i="1"/>
  <c r="O364" i="1"/>
  <c r="O363" i="1"/>
  <c r="O362" i="1"/>
  <c r="O360" i="1"/>
  <c r="O359" i="1"/>
  <c r="O357" i="1"/>
  <c r="O356" i="1"/>
  <c r="O355" i="1"/>
  <c r="O352" i="1"/>
  <c r="O351" i="1"/>
  <c r="O350" i="1"/>
  <c r="O349" i="1"/>
  <c r="O348" i="1"/>
  <c r="O346" i="1"/>
  <c r="O344" i="1"/>
  <c r="O343" i="1"/>
  <c r="O342" i="1"/>
  <c r="O340" i="1"/>
  <c r="O339" i="1"/>
  <c r="O338" i="1"/>
  <c r="O337" i="1"/>
  <c r="O336" i="1"/>
  <c r="O334" i="1"/>
  <c r="O333" i="1"/>
  <c r="O332" i="1"/>
  <c r="O331" i="1"/>
  <c r="O330" i="1"/>
  <c r="O327" i="1"/>
  <c r="O326" i="1"/>
  <c r="O325" i="1"/>
  <c r="O324" i="1"/>
  <c r="O323" i="1"/>
  <c r="O322" i="1"/>
  <c r="O321" i="1"/>
  <c r="O320" i="1"/>
  <c r="O318" i="1"/>
  <c r="O317" i="1"/>
  <c r="O316" i="1"/>
  <c r="O315" i="1"/>
  <c r="O304" i="1"/>
  <c r="O303" i="1"/>
  <c r="O300" i="1"/>
  <c r="O299" i="1"/>
  <c r="O298" i="1"/>
  <c r="O297" i="1"/>
  <c r="O296" i="1"/>
  <c r="O295" i="1"/>
  <c r="O266" i="1"/>
  <c r="O265" i="1"/>
  <c r="O264" i="1"/>
  <c r="O263" i="1"/>
  <c r="O261" i="1"/>
  <c r="O260" i="1"/>
  <c r="O259" i="1"/>
  <c r="O242" i="1"/>
  <c r="O240" i="1"/>
  <c r="O238" i="1"/>
  <c r="O237" i="1"/>
  <c r="O236" i="1"/>
  <c r="O233" i="1"/>
  <c r="O227" i="1"/>
  <c r="O221" i="1"/>
  <c r="O220" i="1"/>
  <c r="O218" i="1"/>
  <c r="O200" i="1"/>
  <c r="O199" i="1"/>
  <c r="O198" i="1"/>
  <c r="O190" i="1"/>
  <c r="O189" i="1"/>
  <c r="O188" i="1"/>
  <c r="O187" i="1"/>
  <c r="O186" i="1"/>
  <c r="O184" i="1"/>
  <c r="O182" i="1"/>
  <c r="O181" i="1"/>
  <c r="O180" i="1"/>
  <c r="O178" i="1"/>
  <c r="O175" i="1"/>
  <c r="O174" i="1"/>
  <c r="O173" i="1"/>
  <c r="O168" i="1"/>
  <c r="O161" i="1"/>
  <c r="O160" i="1"/>
  <c r="O159" i="1"/>
  <c r="O157" i="1"/>
  <c r="O156" i="1"/>
  <c r="O154" i="1"/>
  <c r="O152" i="1"/>
  <c r="O151" i="1"/>
  <c r="O150" i="1"/>
  <c r="O149" i="1"/>
  <c r="O148" i="1"/>
  <c r="O147" i="1"/>
  <c r="O145" i="1"/>
  <c r="O141" i="1"/>
  <c r="O140" i="1"/>
  <c r="O137" i="1"/>
  <c r="O136" i="1"/>
  <c r="O135" i="1"/>
  <c r="O134" i="1"/>
  <c r="O133" i="1"/>
  <c r="O132" i="1"/>
  <c r="O129" i="1"/>
  <c r="O127" i="1"/>
  <c r="O125" i="1"/>
  <c r="O122" i="1"/>
  <c r="O120" i="1"/>
  <c r="O118" i="1"/>
  <c r="O117" i="1"/>
  <c r="O116" i="1"/>
  <c r="O115" i="1"/>
  <c r="O113" i="1"/>
  <c r="O112" i="1"/>
  <c r="O111" i="1"/>
  <c r="O110" i="1"/>
  <c r="O109" i="1"/>
  <c r="O108" i="1"/>
  <c r="O107" i="1"/>
  <c r="O105" i="1"/>
  <c r="O104" i="1"/>
  <c r="O103" i="1"/>
  <c r="O101" i="1"/>
  <c r="O99" i="1"/>
  <c r="O98" i="1"/>
  <c r="O94" i="1"/>
  <c r="O93" i="1"/>
  <c r="O80" i="1"/>
  <c r="O78" i="1"/>
  <c r="O77" i="1"/>
  <c r="O75" i="1"/>
  <c r="O68" i="1"/>
  <c r="O67" i="1"/>
  <c r="O66" i="1"/>
  <c r="O65" i="1"/>
  <c r="O64" i="1"/>
  <c r="O63" i="1"/>
  <c r="O62" i="1"/>
  <c r="O61" i="1"/>
  <c r="O57" i="1"/>
  <c r="O56" i="1"/>
  <c r="O55" i="1"/>
  <c r="O47" i="1"/>
  <c r="O46" i="1"/>
  <c r="O45" i="1"/>
  <c r="O43" i="1"/>
  <c r="O42" i="1"/>
  <c r="O37" i="1"/>
  <c r="O36" i="1"/>
  <c r="O35" i="1"/>
  <c r="O33" i="1"/>
  <c r="O29" i="1"/>
  <c r="O20" i="1"/>
  <c r="O18" i="1"/>
  <c r="O26" i="91" l="1"/>
  <c r="N26" i="91"/>
  <c r="O18" i="81"/>
  <c r="N17" i="81"/>
  <c r="O17" i="81" s="1"/>
  <c r="O16" i="81"/>
  <c r="O15" i="81"/>
  <c r="O14" i="81"/>
  <c r="N13" i="81"/>
  <c r="O13" i="81" s="1"/>
  <c r="N12" i="81"/>
  <c r="O12" i="81" s="1"/>
  <c r="O11" i="81"/>
  <c r="O10" i="81"/>
  <c r="N8" i="81"/>
  <c r="O8" i="81" s="1"/>
  <c r="N7" i="81"/>
  <c r="O7" i="81" s="1"/>
  <c r="N6" i="81"/>
  <c r="O6" i="81" s="1"/>
  <c r="O3" i="81"/>
  <c r="N3" i="81"/>
  <c r="N2" i="81"/>
  <c r="O2" i="81" s="1"/>
  <c r="O37" i="80"/>
  <c r="O36" i="80"/>
  <c r="O35" i="80"/>
  <c r="M34" i="80"/>
  <c r="K34" i="80"/>
  <c r="O34" i="80" s="1"/>
  <c r="O33" i="80"/>
  <c r="O32" i="80"/>
  <c r="O31" i="80"/>
  <c r="O30" i="80"/>
  <c r="O29" i="80"/>
  <c r="M28" i="80"/>
  <c r="O28" i="80" s="1"/>
  <c r="O27" i="80"/>
  <c r="M26" i="80"/>
  <c r="O26" i="80" s="1"/>
  <c r="O25" i="80"/>
  <c r="O24" i="80"/>
  <c r="N23" i="80"/>
  <c r="O23" i="80" s="1"/>
  <c r="N22" i="80"/>
  <c r="O22" i="80" s="1"/>
  <c r="O20" i="80"/>
  <c r="O19" i="80"/>
  <c r="N18" i="80"/>
  <c r="K18" i="80"/>
  <c r="O18" i="80" s="1"/>
  <c r="N17" i="80"/>
  <c r="O17" i="80" s="1"/>
  <c r="N16" i="80"/>
  <c r="O16" i="80" s="1"/>
  <c r="O15" i="80"/>
  <c r="O14" i="80"/>
  <c r="O13" i="80"/>
  <c r="O8" i="80"/>
  <c r="O7" i="80"/>
  <c r="M6" i="80"/>
  <c r="K6" i="80"/>
  <c r="O6" i="80" s="1"/>
  <c r="O5" i="80"/>
  <c r="M5" i="80"/>
  <c r="K5" i="80"/>
  <c r="N2" i="80"/>
  <c r="O2" i="80" s="1"/>
  <c r="M609" i="1"/>
  <c r="K609" i="1"/>
  <c r="O609" i="1" s="1"/>
  <c r="O22" i="79" l="1"/>
  <c r="N22" i="79"/>
  <c r="N21" i="79"/>
  <c r="O21" i="79" s="1"/>
  <c r="M20" i="79"/>
  <c r="K20" i="79"/>
  <c r="O20" i="79" s="1"/>
  <c r="O19" i="79"/>
  <c r="N18" i="79"/>
  <c r="K18" i="79"/>
  <c r="O18" i="79" s="1"/>
  <c r="N17" i="79"/>
  <c r="O17" i="79" s="1"/>
  <c r="M16" i="79"/>
  <c r="K16" i="79"/>
  <c r="O16" i="79" s="1"/>
  <c r="M15" i="79"/>
  <c r="K15" i="79"/>
  <c r="O15" i="79" s="1"/>
  <c r="O14" i="79"/>
  <c r="O13" i="79"/>
  <c r="O12" i="79"/>
  <c r="N11" i="79"/>
  <c r="O11" i="79" s="1"/>
  <c r="O10" i="79"/>
  <c r="N10" i="79"/>
  <c r="O9" i="79"/>
  <c r="N9" i="79"/>
  <c r="O7" i="79"/>
  <c r="O2" i="79"/>
  <c r="N2" i="79"/>
  <c r="O11" i="78"/>
  <c r="O10" i="78"/>
  <c r="O9" i="78"/>
  <c r="N8" i="78"/>
  <c r="O8" i="78" s="1"/>
  <c r="M7" i="78"/>
  <c r="N7" i="78" s="1"/>
  <c r="K7" i="78"/>
  <c r="N6" i="78"/>
  <c r="O6" i="78" s="1"/>
  <c r="O5" i="78"/>
  <c r="O4" i="78"/>
  <c r="O3" i="78"/>
  <c r="N2" i="78"/>
  <c r="O2" i="78" s="1"/>
  <c r="O7" i="78" l="1"/>
  <c r="N2" i="76"/>
  <c r="O2" i="76"/>
  <c r="M3" i="76"/>
  <c r="N3" i="76"/>
  <c r="O3" i="76"/>
  <c r="K4" i="76"/>
  <c r="M4" i="76"/>
  <c r="O4" i="76"/>
  <c r="O5" i="76"/>
  <c r="M6" i="76"/>
  <c r="O6" i="76"/>
  <c r="O7" i="76"/>
  <c r="K8" i="76"/>
  <c r="M8" i="76"/>
  <c r="O8" i="76"/>
  <c r="K9" i="76"/>
  <c r="O9" i="76" s="1"/>
  <c r="M9" i="76"/>
  <c r="K10" i="76"/>
  <c r="M10" i="76"/>
  <c r="O10" i="76"/>
  <c r="K11" i="76"/>
  <c r="M11" i="76"/>
  <c r="O11" i="76"/>
  <c r="K12" i="76"/>
  <c r="M12" i="76"/>
  <c r="O12" i="76"/>
  <c r="K13" i="76"/>
  <c r="M13" i="76"/>
  <c r="O13" i="76"/>
  <c r="O14" i="76"/>
  <c r="K15" i="76"/>
  <c r="O15" i="76" s="1"/>
  <c r="M15" i="76"/>
  <c r="K16" i="76"/>
  <c r="M16" i="76"/>
  <c r="O16" i="76"/>
  <c r="K17" i="76"/>
  <c r="M17" i="76"/>
  <c r="O17" i="76"/>
  <c r="K18" i="76"/>
  <c r="M18" i="76"/>
  <c r="O18" i="76"/>
  <c r="O19" i="76"/>
  <c r="K20" i="76"/>
  <c r="M20" i="76"/>
  <c r="O20" i="76"/>
  <c r="O21" i="76"/>
  <c r="M22" i="76"/>
  <c r="O22" i="76"/>
  <c r="M23" i="76"/>
  <c r="O23" i="76"/>
  <c r="M24" i="76"/>
  <c r="O24" i="76"/>
  <c r="O26" i="76"/>
  <c r="K27" i="76"/>
  <c r="O27" i="76" s="1"/>
  <c r="N27" i="76"/>
  <c r="N28" i="76"/>
  <c r="O28" i="76"/>
  <c r="N29" i="76"/>
  <c r="O29" i="76"/>
  <c r="K30" i="76"/>
  <c r="O30" i="76" s="1"/>
  <c r="M30" i="76"/>
  <c r="N31" i="76"/>
  <c r="O31" i="76"/>
  <c r="K34" i="76"/>
  <c r="M34" i="76"/>
  <c r="N34" i="76"/>
  <c r="O34" i="76"/>
  <c r="N35" i="76"/>
  <c r="O35" i="76" s="1"/>
  <c r="O37" i="76"/>
  <c r="O38" i="76"/>
  <c r="K39" i="76"/>
  <c r="M39" i="76"/>
  <c r="O39" i="76"/>
  <c r="K40" i="76"/>
  <c r="O40" i="76" s="1"/>
  <c r="M40" i="76"/>
  <c r="M41" i="76"/>
  <c r="O41" i="76"/>
  <c r="O42" i="76"/>
  <c r="K43" i="76"/>
  <c r="M43" i="76"/>
  <c r="O43" i="76"/>
  <c r="K44" i="76"/>
  <c r="O44" i="76" s="1"/>
  <c r="M44" i="76"/>
  <c r="M45" i="76"/>
  <c r="O45" i="76"/>
  <c r="O46" i="76"/>
  <c r="O47" i="76"/>
  <c r="O48" i="76"/>
  <c r="O49" i="76"/>
  <c r="O50" i="76"/>
  <c r="O51" i="76"/>
  <c r="O52" i="76"/>
  <c r="M53" i="76"/>
  <c r="N53" i="76"/>
  <c r="O53" i="76"/>
  <c r="M54" i="76"/>
  <c r="O54" i="76"/>
  <c r="K55" i="76"/>
  <c r="M55" i="76"/>
  <c r="O55" i="76"/>
  <c r="M56" i="76"/>
  <c r="O56" i="76"/>
  <c r="M57" i="76"/>
  <c r="O57" i="76"/>
  <c r="M58" i="76"/>
  <c r="N58" i="76" s="1"/>
  <c r="M59" i="76"/>
  <c r="O59" i="76"/>
  <c r="K60" i="76"/>
  <c r="M60" i="76"/>
  <c r="N60" i="76"/>
  <c r="O60" i="76"/>
  <c r="M61" i="76"/>
  <c r="O61" i="76" s="1"/>
  <c r="M62" i="76"/>
  <c r="O62" i="76"/>
  <c r="O63" i="76"/>
  <c r="O64" i="76"/>
  <c r="O65" i="76"/>
  <c r="M652" i="1"/>
  <c r="O652" i="1" s="1"/>
  <c r="M651" i="1"/>
  <c r="O651" i="1" s="1"/>
  <c r="M645" i="1"/>
  <c r="K645" i="1"/>
  <c r="M625" i="1"/>
  <c r="O625" i="1" s="1"/>
  <c r="M622" i="1"/>
  <c r="M612" i="1"/>
  <c r="O612" i="1" s="1"/>
  <c r="M594" i="1"/>
  <c r="O594" i="1" s="1"/>
  <c r="M593" i="1"/>
  <c r="K593" i="1"/>
  <c r="O593" i="1" s="1"/>
  <c r="M577" i="1"/>
  <c r="O577" i="1" s="1"/>
  <c r="M570" i="1"/>
  <c r="M500" i="1"/>
  <c r="K500" i="1"/>
  <c r="M378" i="1"/>
  <c r="K378" i="1"/>
  <c r="O378" i="1" s="1"/>
  <c r="M361" i="1"/>
  <c r="O361" i="1" s="1"/>
  <c r="M347" i="1"/>
  <c r="K347" i="1"/>
  <c r="M335" i="1"/>
  <c r="K335" i="1"/>
  <c r="M271" i="1"/>
  <c r="K271" i="1"/>
  <c r="M235" i="1"/>
  <c r="K235" i="1"/>
  <c r="O235" i="1" s="1"/>
  <c r="K195" i="1"/>
  <c r="M169" i="1"/>
  <c r="O169" i="1" s="1"/>
  <c r="M167" i="1"/>
  <c r="O167" i="1" s="1"/>
  <c r="M158" i="1"/>
  <c r="O158" i="1" s="1"/>
  <c r="M153" i="1"/>
  <c r="K153" i="1"/>
  <c r="M139" i="1"/>
  <c r="K139" i="1"/>
  <c r="O139" i="1" s="1"/>
  <c r="M138" i="1"/>
  <c r="K138" i="1"/>
  <c r="M131" i="1"/>
  <c r="K131" i="1"/>
  <c r="M130" i="1"/>
  <c r="K130" i="1"/>
  <c r="O130" i="1" s="1"/>
  <c r="M114" i="1"/>
  <c r="K114" i="1"/>
  <c r="O114" i="1" s="1"/>
  <c r="M106" i="1"/>
  <c r="K106" i="1"/>
  <c r="M92" i="1"/>
  <c r="K92" i="1"/>
  <c r="K91" i="1"/>
  <c r="M91" i="1"/>
  <c r="K73" i="1"/>
  <c r="M73" i="1"/>
  <c r="M58" i="1"/>
  <c r="K58" i="1"/>
  <c r="M44" i="1"/>
  <c r="O44" i="1" s="1"/>
  <c r="M34" i="1"/>
  <c r="K34" i="1"/>
  <c r="M9" i="1"/>
  <c r="M501" i="1"/>
  <c r="O501" i="1" s="1"/>
  <c r="O153" i="1" l="1"/>
  <c r="O34" i="1"/>
  <c r="O500" i="1"/>
  <c r="O58" i="1"/>
  <c r="O106" i="1"/>
  <c r="O138" i="1"/>
  <c r="O347" i="1"/>
  <c r="O91" i="1"/>
  <c r="O73" i="1"/>
  <c r="O92" i="1"/>
  <c r="O131" i="1"/>
  <c r="O335" i="1"/>
  <c r="N570" i="1"/>
  <c r="O570" i="1" s="1"/>
  <c r="O58" i="76"/>
  <c r="O33" i="73"/>
  <c r="O32" i="73"/>
  <c r="N31" i="73"/>
  <c r="O31" i="73" s="1"/>
  <c r="O30" i="73"/>
  <c r="N30" i="73"/>
  <c r="N29" i="73"/>
  <c r="O29" i="73" s="1"/>
  <c r="O28" i="73"/>
  <c r="O27" i="73"/>
  <c r="N27" i="73"/>
  <c r="N26" i="73"/>
  <c r="O26" i="73" s="1"/>
  <c r="N25" i="73"/>
  <c r="O25" i="73" s="1"/>
  <c r="O24" i="73"/>
  <c r="O23" i="73"/>
  <c r="O22" i="73"/>
  <c r="O21" i="73"/>
  <c r="O20" i="73"/>
  <c r="O19" i="73"/>
  <c r="O18" i="73"/>
  <c r="N17" i="73"/>
  <c r="O17" i="73" s="1"/>
  <c r="N16" i="73"/>
  <c r="O16" i="73" s="1"/>
  <c r="O15" i="73"/>
  <c r="O14" i="73"/>
  <c r="O13" i="73"/>
  <c r="N13" i="73"/>
  <c r="O11" i="73"/>
  <c r="N10" i="73"/>
  <c r="O10" i="73" s="1"/>
  <c r="O9" i="73"/>
  <c r="N8" i="73"/>
  <c r="O8" i="73" s="1"/>
  <c r="O7" i="73"/>
  <c r="N7" i="73"/>
  <c r="N6" i="73"/>
  <c r="O6" i="73" s="1"/>
  <c r="N5" i="73"/>
  <c r="O5" i="73" s="1"/>
  <c r="M4" i="73"/>
  <c r="N4" i="73" s="1"/>
  <c r="O2" i="73"/>
  <c r="N2" i="73"/>
  <c r="N8" i="72" l="1"/>
  <c r="O8" i="72" s="1"/>
  <c r="N7" i="72"/>
  <c r="O7" i="72" s="1"/>
  <c r="O6" i="72"/>
  <c r="O5" i="72"/>
  <c r="N5" i="72"/>
  <c r="O4" i="72"/>
  <c r="N3" i="72"/>
  <c r="O3" i="72" s="1"/>
  <c r="N2" i="72"/>
  <c r="O2" i="72" s="1"/>
  <c r="N3" i="71"/>
  <c r="O3" i="71" s="1"/>
  <c r="N2" i="71"/>
  <c r="O2" i="71" s="1"/>
  <c r="O3" i="70"/>
  <c r="O2" i="70"/>
  <c r="O2" i="69"/>
  <c r="N22" i="67"/>
  <c r="O22" i="67" s="1"/>
  <c r="N21" i="67"/>
  <c r="O21" i="67" s="1"/>
  <c r="N20" i="67"/>
  <c r="O20" i="67" s="1"/>
  <c r="N19" i="67"/>
  <c r="O19" i="67" s="1"/>
  <c r="N18" i="67"/>
  <c r="O18" i="67" s="1"/>
  <c r="O17" i="67"/>
  <c r="N16" i="67"/>
  <c r="O16" i="67" s="1"/>
  <c r="O15" i="67"/>
  <c r="N15" i="67"/>
  <c r="O14" i="67"/>
  <c r="N13" i="67"/>
  <c r="O13" i="67" s="1"/>
  <c r="O12" i="67"/>
  <c r="N12" i="67"/>
  <c r="N11" i="67"/>
  <c r="O11" i="67" s="1"/>
  <c r="N10" i="67"/>
  <c r="O10" i="67" s="1"/>
  <c r="N9" i="67"/>
  <c r="O9" i="67" s="1"/>
  <c r="O8" i="67"/>
  <c r="N8" i="67"/>
  <c r="N7" i="67"/>
  <c r="O7" i="67" s="1"/>
  <c r="O6" i="67"/>
  <c r="N5" i="67"/>
  <c r="O5" i="67" s="1"/>
  <c r="O3" i="67"/>
  <c r="N3" i="67"/>
  <c r="N2" i="67"/>
  <c r="O2" i="67" s="1"/>
  <c r="O27" i="65"/>
  <c r="O26" i="65"/>
  <c r="O25" i="65"/>
  <c r="O24" i="65"/>
  <c r="O23" i="65"/>
  <c r="O22" i="65"/>
  <c r="O21" i="65"/>
  <c r="O20" i="65"/>
  <c r="O19" i="65"/>
  <c r="O18" i="65"/>
  <c r="O17" i="65"/>
  <c r="O16" i="65"/>
  <c r="O15" i="65"/>
  <c r="O14" i="65"/>
  <c r="O11" i="65"/>
  <c r="O7" i="65"/>
  <c r="O6" i="65"/>
  <c r="O5" i="65"/>
  <c r="O4" i="65"/>
  <c r="O10" i="64"/>
  <c r="O9" i="64"/>
  <c r="O8" i="64"/>
  <c r="O7" i="64"/>
  <c r="O6" i="64"/>
  <c r="N5" i="64"/>
  <c r="O5" i="64" s="1"/>
  <c r="N4" i="64"/>
  <c r="O4" i="64" s="1"/>
  <c r="N3" i="64"/>
  <c r="O3" i="64" s="1"/>
  <c r="N2" i="64"/>
  <c r="O2" i="64" s="1"/>
  <c r="O108" i="61"/>
  <c r="O107" i="61"/>
  <c r="O106" i="61"/>
  <c r="O105" i="61"/>
  <c r="O104" i="61"/>
  <c r="O103" i="61"/>
  <c r="O102" i="61"/>
  <c r="O101" i="61"/>
  <c r="O100" i="61"/>
  <c r="O99" i="61"/>
  <c r="O98" i="61"/>
  <c r="O97" i="61"/>
  <c r="O96" i="61"/>
  <c r="O95" i="61"/>
  <c r="O94" i="61"/>
  <c r="O93" i="61"/>
  <c r="O92" i="61"/>
  <c r="O91" i="61"/>
  <c r="O90" i="61"/>
  <c r="O89" i="61"/>
  <c r="O88" i="61"/>
  <c r="O87" i="61"/>
  <c r="O86" i="61"/>
  <c r="O85" i="61"/>
  <c r="O84" i="61"/>
  <c r="O83" i="61"/>
  <c r="O82" i="61"/>
  <c r="O81" i="61"/>
  <c r="O80" i="61"/>
  <c r="O79" i="61"/>
  <c r="O78" i="61"/>
  <c r="O77" i="61"/>
  <c r="O76" i="61"/>
  <c r="O75" i="61"/>
  <c r="O74" i="61"/>
  <c r="O73" i="61"/>
  <c r="O72" i="61"/>
  <c r="O71" i="61"/>
  <c r="O70" i="61"/>
  <c r="O69" i="61"/>
  <c r="O68" i="61"/>
  <c r="O67" i="61"/>
  <c r="O66" i="61"/>
  <c r="O65" i="61"/>
  <c r="O64" i="61"/>
  <c r="O63" i="61"/>
  <c r="O62" i="61"/>
  <c r="O61" i="61"/>
  <c r="O60" i="61"/>
  <c r="O59" i="61"/>
  <c r="O58" i="61"/>
  <c r="O57" i="61"/>
  <c r="O56" i="61"/>
  <c r="O55" i="61"/>
  <c r="O54" i="61"/>
  <c r="O53" i="61"/>
  <c r="O52" i="61"/>
  <c r="O51" i="61"/>
  <c r="O50" i="61"/>
  <c r="O49" i="61"/>
  <c r="O48" i="61"/>
  <c r="O47" i="61"/>
  <c r="O46" i="61"/>
  <c r="O45" i="61"/>
  <c r="O44" i="61"/>
  <c r="O43" i="61"/>
  <c r="O42" i="61"/>
  <c r="O41" i="61"/>
  <c r="O40" i="61"/>
  <c r="O39" i="61"/>
  <c r="O38" i="61"/>
  <c r="O37" i="61"/>
  <c r="O36" i="61"/>
  <c r="O35" i="61"/>
  <c r="O34" i="61"/>
  <c r="O33" i="61"/>
  <c r="O32" i="61"/>
  <c r="O31" i="61"/>
  <c r="O30" i="61"/>
  <c r="O29" i="61"/>
  <c r="O28" i="61"/>
  <c r="O27" i="61"/>
  <c r="O26" i="61"/>
  <c r="O25" i="61"/>
  <c r="O24" i="61"/>
  <c r="O23" i="61"/>
  <c r="O22" i="61"/>
  <c r="O21" i="61"/>
  <c r="O20" i="61"/>
  <c r="O19" i="61"/>
  <c r="N19" i="61"/>
  <c r="N18" i="61"/>
  <c r="O18" i="61" s="1"/>
  <c r="O17" i="61"/>
  <c r="N17" i="61"/>
  <c r="N16" i="61"/>
  <c r="O16" i="61" s="1"/>
  <c r="O15" i="61"/>
  <c r="N15" i="61"/>
  <c r="N14" i="61"/>
  <c r="O14" i="61" s="1"/>
  <c r="O13" i="61"/>
  <c r="N13" i="61"/>
  <c r="N12" i="61"/>
  <c r="O12" i="61" s="1"/>
  <c r="O11" i="61"/>
  <c r="N11" i="61"/>
  <c r="N10" i="61"/>
  <c r="O10" i="61" s="1"/>
  <c r="O9" i="61"/>
  <c r="N9" i="61"/>
  <c r="N8" i="61"/>
  <c r="O8" i="61" s="1"/>
  <c r="O7" i="61"/>
  <c r="N7" i="61"/>
  <c r="N6" i="61"/>
  <c r="O6" i="61" s="1"/>
  <c r="O5" i="61"/>
  <c r="N5" i="61"/>
  <c r="N4" i="61"/>
  <c r="O4" i="61" s="1"/>
  <c r="O3" i="61"/>
  <c r="N3" i="61"/>
  <c r="N2" i="61"/>
  <c r="O2" i="61" s="1"/>
  <c r="O26" i="60"/>
  <c r="O25" i="60"/>
  <c r="O24" i="60"/>
  <c r="M23" i="60"/>
  <c r="N22" i="60"/>
  <c r="M22" i="60"/>
  <c r="O22" i="60" s="1"/>
  <c r="O21" i="60"/>
  <c r="N21" i="60"/>
  <c r="O20" i="60"/>
  <c r="O19" i="60"/>
  <c r="O18" i="60"/>
  <c r="O17" i="60"/>
  <c r="O16" i="60"/>
  <c r="N16" i="60"/>
  <c r="O15" i="60"/>
  <c r="N15" i="60"/>
  <c r="N14" i="60"/>
  <c r="O14" i="60" s="1"/>
  <c r="O13" i="60"/>
  <c r="N13" i="60"/>
  <c r="O12" i="60"/>
  <c r="N12" i="60"/>
  <c r="O11" i="60"/>
  <c r="N11" i="60"/>
  <c r="N10" i="60"/>
  <c r="O10" i="60" s="1"/>
  <c r="O9" i="60"/>
  <c r="N9" i="60"/>
  <c r="O8" i="60"/>
  <c r="N8" i="60"/>
  <c r="O7" i="60"/>
  <c r="N7" i="60"/>
  <c r="N6" i="60"/>
  <c r="M5" i="60"/>
  <c r="N4" i="60"/>
  <c r="M4" i="60"/>
  <c r="M3" i="60"/>
  <c r="O5" i="59"/>
  <c r="O4" i="59"/>
  <c r="N2" i="59"/>
  <c r="O2" i="59" s="1"/>
  <c r="N5" i="57"/>
  <c r="O5" i="57" s="1"/>
  <c r="M5" i="57"/>
  <c r="O4" i="57"/>
  <c r="N4" i="57"/>
  <c r="N3" i="57"/>
  <c r="O3" i="57" s="1"/>
  <c r="O2" i="57"/>
  <c r="N2" i="57"/>
  <c r="N2" i="56"/>
  <c r="O2" i="56" s="1"/>
  <c r="N3" i="55"/>
  <c r="K3" i="55"/>
  <c r="O3" i="55" s="1"/>
  <c r="N2" i="54"/>
  <c r="K2" i="54"/>
  <c r="O2" i="54" s="1"/>
  <c r="O8" i="53"/>
  <c r="O7" i="53"/>
  <c r="O6" i="53"/>
  <c r="O5" i="53"/>
  <c r="N4" i="53"/>
  <c r="O4" i="53" s="1"/>
  <c r="N2" i="53"/>
  <c r="O2" i="53" s="1"/>
  <c r="N2" i="52"/>
  <c r="N2" i="51"/>
  <c r="O2" i="51" s="1"/>
  <c r="O19" i="50"/>
  <c r="O18" i="50"/>
  <c r="O17" i="50"/>
  <c r="O16" i="50"/>
  <c r="O15" i="50"/>
  <c r="N15" i="50"/>
  <c r="N14" i="50"/>
  <c r="O14" i="50" s="1"/>
  <c r="O13" i="50"/>
  <c r="N13" i="50"/>
  <c r="N12" i="50"/>
  <c r="O12" i="50" s="1"/>
  <c r="O11" i="50"/>
  <c r="N11" i="50"/>
  <c r="N10" i="50"/>
  <c r="O10" i="50" s="1"/>
  <c r="O9" i="50"/>
  <c r="N9" i="50"/>
  <c r="O8" i="50"/>
  <c r="N8" i="50"/>
  <c r="M7" i="50"/>
  <c r="N5" i="50"/>
  <c r="O4" i="50"/>
  <c r="N4" i="50"/>
  <c r="N3" i="50"/>
  <c r="O3" i="50" s="1"/>
  <c r="O2" i="50"/>
  <c r="N2" i="50"/>
  <c r="O2" i="48"/>
  <c r="N4" i="47"/>
  <c r="O4" i="47" s="1"/>
  <c r="N3" i="47"/>
  <c r="O3" i="47" s="1"/>
  <c r="N2" i="47"/>
  <c r="O2" i="47" s="1"/>
  <c r="N3" i="46"/>
  <c r="O3" i="46" s="1"/>
  <c r="N2" i="46"/>
  <c r="O2" i="46" s="1"/>
  <c r="O2" i="42"/>
  <c r="N7" i="41"/>
  <c r="O7" i="41" s="1"/>
  <c r="O6" i="41"/>
  <c r="O5" i="41"/>
  <c r="N5" i="41"/>
  <c r="O4" i="41"/>
  <c r="O3" i="41"/>
  <c r="O2" i="41"/>
  <c r="N7" i="39"/>
  <c r="O7" i="39" s="1"/>
  <c r="O6" i="39"/>
  <c r="O5" i="39"/>
  <c r="O4" i="39"/>
  <c r="O3" i="39"/>
  <c r="N3" i="39"/>
  <c r="O2" i="39"/>
  <c r="N5" i="37"/>
  <c r="O5" i="37" s="1"/>
  <c r="O4" i="37"/>
  <c r="N3" i="37"/>
  <c r="O3" i="37" s="1"/>
  <c r="O2" i="37"/>
  <c r="N2" i="37"/>
  <c r="O3" i="34"/>
  <c r="O2" i="34"/>
  <c r="O3" i="33"/>
  <c r="N2" i="33"/>
  <c r="O22" i="32"/>
  <c r="O21" i="32"/>
  <c r="O20" i="32"/>
  <c r="O19" i="32"/>
  <c r="O18" i="32"/>
  <c r="O17" i="32"/>
  <c r="O16" i="32"/>
  <c r="O15" i="32"/>
  <c r="O14" i="32"/>
  <c r="O13" i="32"/>
  <c r="K11" i="32"/>
  <c r="O7" i="32"/>
  <c r="O6" i="32"/>
  <c r="O5" i="32"/>
  <c r="O4" i="32"/>
  <c r="N2" i="32"/>
  <c r="O2" i="32" s="1"/>
  <c r="N12" i="31"/>
  <c r="O2" i="31"/>
  <c r="O10" i="30"/>
  <c r="M10" i="30"/>
  <c r="N9" i="30"/>
  <c r="O9" i="30" s="1"/>
  <c r="M8" i="30"/>
  <c r="N7" i="30"/>
  <c r="O7" i="30" s="1"/>
  <c r="M7" i="30"/>
  <c r="M6" i="30"/>
  <c r="N6" i="30" s="1"/>
  <c r="K6" i="30"/>
  <c r="O6" i="30" s="1"/>
  <c r="N5" i="30"/>
  <c r="O5" i="30" s="1"/>
  <c r="O4" i="30"/>
  <c r="N3" i="30"/>
  <c r="O3" i="30" s="1"/>
  <c r="M2" i="30"/>
  <c r="N2" i="30" s="1"/>
  <c r="K2" i="30"/>
  <c r="O2" i="30" s="1"/>
  <c r="O4" i="29"/>
  <c r="O3" i="29"/>
  <c r="M2" i="29"/>
  <c r="M22" i="1"/>
  <c r="O7" i="28"/>
  <c r="O6" i="28"/>
  <c r="N5" i="28"/>
  <c r="O5" i="28" s="1"/>
  <c r="O4" i="28"/>
  <c r="O7" i="27"/>
  <c r="O6" i="27"/>
  <c r="O5" i="27"/>
  <c r="O4" i="27"/>
  <c r="N2" i="27"/>
  <c r="O2" i="27" s="1"/>
  <c r="N10" i="25"/>
  <c r="O10" i="25" s="1"/>
  <c r="M10" i="25"/>
  <c r="O9" i="25"/>
  <c r="O8" i="25"/>
  <c r="O7" i="25"/>
  <c r="O6" i="25"/>
  <c r="O5" i="25"/>
  <c r="N4" i="25"/>
  <c r="O4" i="25" s="1"/>
  <c r="N3" i="25"/>
  <c r="O3" i="25" s="1"/>
  <c r="N2" i="25"/>
  <c r="O2" i="25" s="1"/>
  <c r="O3" i="23"/>
  <c r="O2" i="23"/>
  <c r="K2" i="23"/>
  <c r="O23" i="60" l="1"/>
  <c r="N5" i="60"/>
  <c r="N3" i="60"/>
  <c r="N23" i="60"/>
  <c r="N7" i="50"/>
  <c r="O7" i="50" s="1"/>
  <c r="N8" i="30"/>
  <c r="O8" i="30" s="1"/>
  <c r="O2" i="29"/>
  <c r="N2" i="29"/>
  <c r="M521" i="1"/>
  <c r="O228" i="1"/>
  <c r="K177" i="1"/>
  <c r="O177" i="1" s="1"/>
  <c r="K185" i="1"/>
  <c r="O185" i="1" s="1"/>
  <c r="M381" i="1"/>
  <c r="O381" i="1" s="1"/>
  <c r="M353" i="1"/>
  <c r="O353" i="1" s="1"/>
  <c r="M102" i="1"/>
  <c r="M88" i="1"/>
  <c r="K102" i="1"/>
  <c r="K88" i="1"/>
  <c r="M679" i="1"/>
  <c r="O679" i="1" s="1"/>
  <c r="M143" i="1"/>
  <c r="K143" i="1"/>
  <c r="M305" i="1"/>
  <c r="M285" i="1"/>
  <c r="M284" i="1"/>
  <c r="K284" i="1"/>
  <c r="O88" i="1" l="1"/>
  <c r="O102" i="1"/>
  <c r="M655" i="1"/>
  <c r="K655" i="1"/>
  <c r="M653" i="1"/>
  <c r="K653" i="1"/>
  <c r="O653" i="1" s="1"/>
  <c r="K649" i="1"/>
  <c r="O649" i="1" s="1"/>
  <c r="M659" i="1"/>
  <c r="O659" i="1" s="1"/>
  <c r="N648" i="1"/>
  <c r="O648" i="1" s="1"/>
  <c r="N645" i="1"/>
  <c r="O645" i="1" s="1"/>
  <c r="N644" i="1"/>
  <c r="O644" i="1" s="1"/>
  <c r="O655" i="1" l="1"/>
  <c r="N171" i="1"/>
  <c r="O171" i="1" s="1"/>
  <c r="N166" i="1"/>
  <c r="O166" i="1" s="1"/>
  <c r="N165" i="1"/>
  <c r="O165" i="1" s="1"/>
  <c r="N164" i="1"/>
  <c r="O164" i="1" s="1"/>
  <c r="N163" i="1"/>
  <c r="O163" i="1" s="1"/>
  <c r="N162" i="1"/>
  <c r="O162" i="1" s="1"/>
  <c r="N155" i="1"/>
  <c r="O155" i="1" s="1"/>
  <c r="N39" i="1"/>
  <c r="O39" i="1" s="1"/>
  <c r="N38" i="1"/>
  <c r="O38" i="1" s="1"/>
  <c r="M32" i="1"/>
  <c r="K32" i="1"/>
  <c r="O32" i="1" s="1"/>
  <c r="M31" i="1"/>
  <c r="K31" i="1"/>
  <c r="M30" i="1"/>
  <c r="K30" i="1"/>
  <c r="O30" i="1" s="1"/>
  <c r="N28" i="1"/>
  <c r="O28" i="1" s="1"/>
  <c r="N27" i="1"/>
  <c r="O27" i="1" s="1"/>
  <c r="N26" i="1"/>
  <c r="O26" i="1" s="1"/>
  <c r="N25" i="1"/>
  <c r="N24" i="1"/>
  <c r="O24" i="1" s="1"/>
  <c r="N23" i="1"/>
  <c r="O23" i="1" s="1"/>
  <c r="N22" i="1"/>
  <c r="O22" i="1" s="1"/>
  <c r="O25" i="1" l="1"/>
  <c r="O31" i="1"/>
  <c r="K358" i="1"/>
  <c r="O358" i="1" s="1"/>
  <c r="M319" i="1"/>
  <c r="O319" i="1" s="1"/>
  <c r="M680" i="1"/>
  <c r="K680" i="1"/>
  <c r="O680" i="1" s="1"/>
  <c r="M191" i="1"/>
  <c r="O191" i="1" s="1"/>
  <c r="M624" i="1"/>
  <c r="K624" i="1"/>
  <c r="K597" i="1"/>
  <c r="M555" i="1"/>
  <c r="K555" i="1"/>
  <c r="M543" i="1"/>
  <c r="K543" i="1"/>
  <c r="O543" i="1" s="1"/>
  <c r="M239" i="1"/>
  <c r="K239" i="1"/>
  <c r="M526" i="1"/>
  <c r="N532" i="1"/>
  <c r="O532" i="1" s="1"/>
  <c r="N531" i="1"/>
  <c r="O531" i="1" s="1"/>
  <c r="N525" i="1"/>
  <c r="O525" i="1" s="1"/>
  <c r="N524" i="1"/>
  <c r="O524" i="1" s="1"/>
  <c r="N523" i="1"/>
  <c r="O523" i="1" s="1"/>
  <c r="N522" i="1"/>
  <c r="O522" i="1" s="1"/>
  <c r="N521" i="1"/>
  <c r="O521" i="1" s="1"/>
  <c r="N517" i="1"/>
  <c r="O517" i="1" s="1"/>
  <c r="N514" i="1"/>
  <c r="O514" i="1" s="1"/>
  <c r="N513" i="1"/>
  <c r="O513" i="1" s="1"/>
  <c r="O624" i="1" l="1"/>
  <c r="O555" i="1"/>
  <c r="N526" i="1"/>
  <c r="O526" i="1" s="1"/>
  <c r="N619" i="1"/>
  <c r="O619" i="1" s="1"/>
  <c r="M59" i="1"/>
  <c r="O59" i="1" s="1"/>
  <c r="M354" i="1"/>
  <c r="O354" i="1" s="1"/>
  <c r="N601" i="1" l="1"/>
  <c r="O601" i="1" s="1"/>
  <c r="N597" i="1"/>
  <c r="O597" i="1" s="1"/>
  <c r="N592" i="1"/>
  <c r="O592" i="1" s="1"/>
  <c r="N591" i="1"/>
  <c r="O591" i="1" s="1"/>
  <c r="N590" i="1"/>
  <c r="O590" i="1" s="1"/>
  <c r="M589" i="1"/>
  <c r="M588" i="1"/>
  <c r="N587" i="1"/>
  <c r="O587" i="1" s="1"/>
  <c r="N584" i="1"/>
  <c r="O584" i="1" s="1"/>
  <c r="N575" i="1"/>
  <c r="O575" i="1" s="1"/>
  <c r="N573" i="1"/>
  <c r="O573" i="1" s="1"/>
  <c r="N572" i="1"/>
  <c r="O572" i="1" s="1"/>
  <c r="N571" i="1"/>
  <c r="O571" i="1" s="1"/>
  <c r="N569" i="1"/>
  <c r="O569" i="1" s="1"/>
  <c r="N589" i="1" l="1"/>
  <c r="O589" i="1" s="1"/>
  <c r="N588" i="1"/>
  <c r="O588" i="1" s="1"/>
  <c r="N509" i="1" l="1"/>
  <c r="O509" i="1" s="1"/>
  <c r="N508" i="1"/>
  <c r="O508" i="1" s="1"/>
  <c r="N507" i="1"/>
  <c r="O507" i="1" s="1"/>
  <c r="N506" i="1"/>
  <c r="O506" i="1" s="1"/>
  <c r="N669" i="1" l="1"/>
  <c r="O669" i="1" s="1"/>
  <c r="N666" i="1"/>
  <c r="O666" i="1" s="1"/>
  <c r="N665" i="1"/>
  <c r="O665" i="1" s="1"/>
  <c r="M664" i="1"/>
  <c r="M663" i="1"/>
  <c r="N663" i="1" l="1"/>
  <c r="O663" i="1" s="1"/>
  <c r="N664" i="1"/>
  <c r="O664" i="1" s="1"/>
  <c r="N631" i="1"/>
  <c r="O631" i="1" s="1"/>
  <c r="M627" i="1"/>
  <c r="N621" i="1"/>
  <c r="O621" i="1" s="1"/>
  <c r="N620" i="1"/>
  <c r="O620" i="1" s="1"/>
  <c r="N618" i="1"/>
  <c r="O618" i="1" s="1"/>
  <c r="N627" i="1" l="1"/>
  <c r="O627" i="1" s="1"/>
  <c r="N622" i="1"/>
  <c r="O622" i="1" s="1"/>
  <c r="N341" i="1" l="1"/>
  <c r="O341" i="1" s="1"/>
  <c r="N329" i="1"/>
  <c r="O329" i="1" s="1"/>
  <c r="N328" i="1"/>
  <c r="O328" i="1" s="1"/>
  <c r="N314" i="1"/>
  <c r="O314" i="1" s="1"/>
  <c r="N313" i="1"/>
  <c r="O313" i="1" s="1"/>
  <c r="N312" i="1"/>
  <c r="O312" i="1" s="1"/>
  <c r="N311" i="1"/>
  <c r="O311" i="1" s="1"/>
  <c r="N310" i="1"/>
  <c r="O310" i="1" s="1"/>
  <c r="N309" i="1"/>
  <c r="O309" i="1" s="1"/>
  <c r="N308" i="1" l="1"/>
  <c r="O308" i="1" s="1"/>
  <c r="N307" i="1"/>
  <c r="O307" i="1" s="1"/>
  <c r="N306" i="1"/>
  <c r="O306" i="1" s="1"/>
  <c r="N305" i="1"/>
  <c r="O305" i="1" s="1"/>
  <c r="N294" i="1"/>
  <c r="O294" i="1" s="1"/>
  <c r="N293" i="1"/>
  <c r="O293" i="1" s="1"/>
  <c r="N292" i="1"/>
  <c r="O292" i="1" s="1"/>
  <c r="N291" i="1"/>
  <c r="O291" i="1" s="1"/>
  <c r="N290" i="1"/>
  <c r="O290" i="1" s="1"/>
  <c r="N289" i="1"/>
  <c r="O289" i="1" s="1"/>
  <c r="N288" i="1"/>
  <c r="O288" i="1" s="1"/>
  <c r="N287" i="1"/>
  <c r="O287" i="1" s="1"/>
  <c r="N286" i="1"/>
  <c r="O286" i="1" s="1"/>
  <c r="N285" i="1"/>
  <c r="O285" i="1" s="1"/>
  <c r="N284" i="1"/>
  <c r="O284" i="1" s="1"/>
  <c r="N283" i="1"/>
  <c r="K283" i="1"/>
  <c r="N282" i="1"/>
  <c r="O282" i="1" s="1"/>
  <c r="N281" i="1"/>
  <c r="O281" i="1" s="1"/>
  <c r="N280" i="1"/>
  <c r="O280" i="1" s="1"/>
  <c r="N279" i="1"/>
  <c r="K279" i="1"/>
  <c r="O279" i="1" s="1"/>
  <c r="N278" i="1"/>
  <c r="O278" i="1" s="1"/>
  <c r="N277" i="1"/>
  <c r="O277" i="1" s="1"/>
  <c r="N276" i="1"/>
  <c r="K276" i="1"/>
  <c r="N275" i="1"/>
  <c r="O275" i="1" s="1"/>
  <c r="N274" i="1"/>
  <c r="O274" i="1" s="1"/>
  <c r="N273" i="1"/>
  <c r="O273" i="1" s="1"/>
  <c r="N272" i="1"/>
  <c r="O272" i="1" s="1"/>
  <c r="N271" i="1"/>
  <c r="O271" i="1" s="1"/>
  <c r="N270" i="1"/>
  <c r="O270" i="1" s="1"/>
  <c r="N269" i="1"/>
  <c r="O269" i="1" s="1"/>
  <c r="N268" i="1"/>
  <c r="O268" i="1" s="1"/>
  <c r="O276" i="1" l="1"/>
  <c r="O283" i="1"/>
  <c r="N267" i="1"/>
  <c r="O267" i="1" s="1"/>
  <c r="N262" i="1"/>
  <c r="O262" i="1" s="1"/>
  <c r="N258" i="1"/>
  <c r="O258" i="1" s="1"/>
  <c r="N257" i="1"/>
  <c r="O257" i="1" s="1"/>
  <c r="N256" i="1"/>
  <c r="O256" i="1" s="1"/>
  <c r="N255" i="1"/>
  <c r="O255" i="1" s="1"/>
  <c r="N254" i="1"/>
  <c r="O254" i="1" s="1"/>
  <c r="N253" i="1"/>
  <c r="O253" i="1" s="1"/>
  <c r="N252" i="1"/>
  <c r="O252" i="1" s="1"/>
  <c r="N251" i="1"/>
  <c r="O251" i="1" s="1"/>
  <c r="N250" i="1"/>
  <c r="O250" i="1" s="1"/>
  <c r="N249" i="1"/>
  <c r="O249" i="1" s="1"/>
  <c r="N248" i="1"/>
  <c r="O248" i="1" s="1"/>
  <c r="N247" i="1"/>
  <c r="O247" i="1" s="1"/>
  <c r="N246" i="1"/>
  <c r="O246" i="1" s="1"/>
  <c r="N245" i="1"/>
  <c r="O245" i="1" s="1"/>
  <c r="N244" i="1"/>
  <c r="O244" i="1" s="1"/>
  <c r="N243" i="1"/>
  <c r="O243" i="1" s="1"/>
  <c r="N241" i="1"/>
  <c r="O241" i="1" s="1"/>
  <c r="N239" i="1"/>
  <c r="O239" i="1" s="1"/>
  <c r="N234" i="1" l="1"/>
  <c r="O234" i="1" s="1"/>
  <c r="N232" i="1"/>
  <c r="O232" i="1" s="1"/>
  <c r="K230" i="1"/>
  <c r="O230" i="1" s="1"/>
  <c r="N229" i="1"/>
  <c r="O229" i="1" s="1"/>
  <c r="N226" i="1"/>
  <c r="O226" i="1" s="1"/>
  <c r="N222" i="1"/>
  <c r="O222" i="1" s="1"/>
  <c r="N219" i="1"/>
  <c r="O219" i="1" s="1"/>
  <c r="N217" i="1"/>
  <c r="O217" i="1" s="1"/>
  <c r="N216" i="1"/>
  <c r="O216" i="1" s="1"/>
  <c r="N215" i="1"/>
  <c r="O215" i="1" s="1"/>
  <c r="N214" i="1"/>
  <c r="O214" i="1" s="1"/>
  <c r="N213" i="1"/>
  <c r="O213" i="1" s="1"/>
  <c r="N212" i="1"/>
  <c r="O212" i="1" s="1"/>
  <c r="N211" i="1"/>
  <c r="O211" i="1" s="1"/>
  <c r="N210" i="1"/>
  <c r="O210" i="1" s="1"/>
  <c r="N209" i="1"/>
  <c r="O209" i="1" s="1"/>
  <c r="N208" i="1"/>
  <c r="O208" i="1" s="1"/>
  <c r="N207" i="1"/>
  <c r="O207" i="1" s="1"/>
  <c r="N206" i="1"/>
  <c r="O206" i="1" s="1"/>
  <c r="N205" i="1"/>
  <c r="O205" i="1" s="1"/>
  <c r="N204" i="1"/>
  <c r="O204" i="1" s="1"/>
  <c r="N203" i="1"/>
  <c r="O203" i="1" s="1"/>
  <c r="N202" i="1"/>
  <c r="O202" i="1" s="1"/>
  <c r="N201" i="1"/>
  <c r="O201" i="1" s="1"/>
  <c r="N197" i="1"/>
  <c r="O197" i="1" s="1"/>
  <c r="N196" i="1"/>
  <c r="O196" i="1" s="1"/>
  <c r="N195" i="1"/>
  <c r="O195" i="1" s="1"/>
  <c r="N194" i="1"/>
  <c r="O194" i="1" s="1"/>
  <c r="N193" i="1"/>
  <c r="O193" i="1" s="1"/>
  <c r="N192" i="1"/>
  <c r="O192" i="1" s="1"/>
  <c r="K183" i="1" l="1"/>
  <c r="O183" i="1" s="1"/>
  <c r="N179" i="1"/>
  <c r="O179" i="1" s="1"/>
  <c r="K176" i="1"/>
  <c r="O176" i="1" s="1"/>
  <c r="N172" i="1"/>
  <c r="O172" i="1" s="1"/>
  <c r="N146" i="1" l="1"/>
  <c r="O146" i="1" s="1"/>
  <c r="N144" i="1"/>
  <c r="O144" i="1" s="1"/>
  <c r="N143" i="1"/>
  <c r="O143" i="1" s="1"/>
  <c r="N142" i="1"/>
  <c r="O142" i="1" s="1"/>
  <c r="N126" i="1" l="1"/>
  <c r="O126" i="1" s="1"/>
  <c r="N124" i="1"/>
  <c r="O124" i="1" s="1"/>
  <c r="N121" i="1"/>
  <c r="O121" i="1" s="1"/>
  <c r="N119" i="1"/>
  <c r="O119" i="1" s="1"/>
  <c r="N100" i="1" l="1"/>
  <c r="O100" i="1" s="1"/>
  <c r="M97" i="1"/>
  <c r="M96" i="1"/>
  <c r="M95" i="1"/>
  <c r="M90" i="1"/>
  <c r="M89" i="1"/>
  <c r="N87" i="1"/>
  <c r="O87" i="1" s="1"/>
  <c r="N86" i="1"/>
  <c r="O86" i="1" s="1"/>
  <c r="N85" i="1"/>
  <c r="O85" i="1" s="1"/>
  <c r="N84" i="1"/>
  <c r="O84" i="1" s="1"/>
  <c r="M83" i="1"/>
  <c r="O83" i="1" s="1"/>
  <c r="N82" i="1"/>
  <c r="O82" i="1" s="1"/>
  <c r="M81" i="1"/>
  <c r="K81" i="1"/>
  <c r="O81" i="1" s="1"/>
  <c r="M79" i="1"/>
  <c r="O79" i="1" s="1"/>
  <c r="M76" i="1"/>
  <c r="O76" i="1" s="1"/>
  <c r="M74" i="1"/>
  <c r="K74" i="1"/>
  <c r="O74" i="1" s="1"/>
  <c r="N72" i="1"/>
  <c r="O72" i="1" s="1"/>
  <c r="N71" i="1"/>
  <c r="O71" i="1" s="1"/>
  <c r="N70" i="1"/>
  <c r="O70" i="1" s="1"/>
  <c r="N69" i="1"/>
  <c r="O69" i="1" s="1"/>
  <c r="N90" i="1" l="1"/>
  <c r="O90" i="1" s="1"/>
  <c r="N95" i="1"/>
  <c r="O95" i="1" s="1"/>
  <c r="N89" i="1"/>
  <c r="O89" i="1" s="1"/>
  <c r="N97" i="1"/>
  <c r="O97" i="1" s="1"/>
  <c r="N96" i="1"/>
  <c r="O96" i="1" s="1"/>
  <c r="N60" i="1" l="1"/>
  <c r="O60" i="1" s="1"/>
  <c r="N54" i="1"/>
  <c r="O54" i="1" s="1"/>
  <c r="N49" i="1"/>
  <c r="O49" i="1" s="1"/>
  <c r="N48" i="1"/>
  <c r="O48" i="1" s="1"/>
  <c r="N21" i="1" l="1"/>
  <c r="O21" i="1" s="1"/>
  <c r="M19" i="1"/>
  <c r="N17" i="1"/>
  <c r="O17" i="1" s="1"/>
  <c r="N16" i="1"/>
  <c r="O16" i="1" s="1"/>
  <c r="N15" i="1"/>
  <c r="O15" i="1" s="1"/>
  <c r="N14" i="1"/>
  <c r="O14" i="1" s="1"/>
  <c r="N13" i="1"/>
  <c r="O13" i="1" s="1"/>
  <c r="N12" i="1"/>
  <c r="O12" i="1" s="1"/>
  <c r="N11" i="1"/>
  <c r="O11" i="1" s="1"/>
  <c r="N10" i="1"/>
  <c r="O10" i="1" s="1"/>
  <c r="N9" i="1"/>
  <c r="O9" i="1" s="1"/>
  <c r="N7" i="1"/>
  <c r="O7" i="1" s="1"/>
  <c r="N6" i="1"/>
  <c r="O6" i="1" s="1"/>
  <c r="N5" i="1"/>
  <c r="O5" i="1" s="1"/>
  <c r="N4" i="1"/>
  <c r="O4" i="1" s="1"/>
  <c r="N3" i="1"/>
  <c r="O3" i="1" s="1"/>
  <c r="N2" i="1"/>
  <c r="O2" i="1" s="1"/>
  <c r="O301" i="1"/>
  <c r="N19" i="1" l="1"/>
  <c r="O19" i="1" s="1"/>
  <c r="O3" i="59"/>
</calcChain>
</file>

<file path=xl/sharedStrings.xml><?xml version="1.0" encoding="utf-8"?>
<sst xmlns="http://schemas.openxmlformats.org/spreadsheetml/2006/main" count="10610" uniqueCount="1500">
  <si>
    <t xml:space="preserve">SECCIONAL QUE CELEBRA EL CTO. </t>
  </si>
  <si>
    <t>NÚMERO DE CONTRATO</t>
  </si>
  <si>
    <t xml:space="preserve">OBJETO DEL CONTRATO </t>
  </si>
  <si>
    <t xml:space="preserve">FECHA DE SUSCRIPCIÓN CONTRATO </t>
  </si>
  <si>
    <t>FECHA INICIO CONTRATO</t>
  </si>
  <si>
    <t xml:space="preserve">VALOR INICIAL DEL CONTRATO </t>
  </si>
  <si>
    <t>ADICIONES AL VALOR CTO.</t>
  </si>
  <si>
    <t>CONTRATISTA</t>
  </si>
  <si>
    <t>NIT. CONTRATISTA</t>
  </si>
  <si>
    <t>DESCRIPCION ELEMENTOS ADQUIRIDOS</t>
  </si>
  <si>
    <t>CANTIDAD</t>
  </si>
  <si>
    <t>UNIDAD DE MEDIDA</t>
  </si>
  <si>
    <t>VALOR UNITARIO</t>
  </si>
  <si>
    <t>IVA</t>
  </si>
  <si>
    <t>VALOR TOTAL</t>
  </si>
  <si>
    <t>CATEGORIA</t>
  </si>
  <si>
    <t>ARMENIA</t>
  </si>
  <si>
    <t>CONTRATO DE COMPRAVENTA Nro 5</t>
  </si>
  <si>
    <t>ADQUISICIÓN DE ELEMENTOS DE BIOSEGURIDAD CONSISTENTES EN TRAJES DE PROTECCIÓN CORPORAL, MONOGAFAS CON VENTILACIÓN Y GUANTES PARA LOS SERVIDORES JUDICIALES QUE EJERCEN FUNCIONES DE CONTROL DE GARANTÍAS DEL DISTRITO JUDICIAL DE ARMENIA Y ADMINISTRATIVO DEL QUINDÍO.</t>
  </si>
  <si>
    <t>TECHNICAL SOLUTIONS SAFETY SAS</t>
  </si>
  <si>
    <t xml:space="preserve">TRAJE DE PROTECCION CORPORAL, TALLAS L Y XL </t>
  </si>
  <si>
    <t>TRAJES DE PROTECCION / OVEROL</t>
  </si>
  <si>
    <t>GUANTES NITILSAFE VERDE 13"</t>
  </si>
  <si>
    <t>GUANTES DE LATEX</t>
  </si>
  <si>
    <t>MONOGAFAS WIND VENTILACION DIRECTA AF ANSI Z87</t>
  </si>
  <si>
    <t>MONOGAFAS</t>
  </si>
  <si>
    <t>CONTRATO DE SUMININISTR Nro 7</t>
  </si>
  <si>
    <t>ADQUISICIÓN DE ELEMENTOS DE PROTECCIÓN PERSONAL (TAPABOCAS) PARA LOS SERVIDORES JUDICIALES DEL DISTRITO DE ARMENIA Y ADMINISTRATIVO DEL QUINDÍO PARA LA PREVENCIÓN DEL CONTAGIO DE COVID-19.</t>
  </si>
  <si>
    <t>C.R. DOTACIONES Y UNIFORMES S.A.S</t>
  </si>
  <si>
    <t>MASCARAS FACIALES EN EMPAQUE INDIVIDUAL DESECHABLES (TAPABOCAS DESECHABELES)</t>
  </si>
  <si>
    <t>CONTRATO DE COMPRAVENTA Nro 8</t>
  </si>
  <si>
    <t>ADQUISICIÓN DE ELEMENTOS DE LIMPIEZA Y DESINFECCIÓN (JABÓN ANTIBACTERIAL Y GEL ANTIBACTERIAL) PARA EL DISTRITO JUDICIAL DE ARMENIA Y ADMINISTRATIVO DEL QUINDÍO PARA LA PREVENCIÓN DEL CONTAGIO DE COVID-19.</t>
  </si>
  <si>
    <t>BERHLAN DE COLOMBIA S.A.S</t>
  </si>
  <si>
    <t xml:space="preserve">GEL ANTIBACTERIAL </t>
  </si>
  <si>
    <t>GEL ANTIBACTERIAL</t>
  </si>
  <si>
    <t xml:space="preserve">JABON ANTIBACTERIAL </t>
  </si>
  <si>
    <t>JABON LIQUIDO PARA MANOS</t>
  </si>
  <si>
    <t xml:space="preserve">CONTRATO DE PRESTACIÓN DE SERVICIOS NRO. 11 </t>
  </si>
  <si>
    <t>EL SERVICIO DE VIGÍAS DE SALUD, CON EL FIN DE DAR CUMPLIMIENTO AL ACUERDO PCSJA20-11567 DEL 5 DE JUNIO DE 2020, Y SUS DISPOSICIONES EN CUANTO A LA APLICACIÓN DE LOS PROTOCOLOS DE BIOSEGURIDAD, EN LAS SEDES DE MAYOR AFLUENCIA DE PERSONAS EN EL DISTRITO JUDICIAL DE ARMENIA Y ADMINISTRATIVO DEL QUINDÍO</t>
  </si>
  <si>
    <t xml:space="preserve">CRUZ ROJA COLOMBIANA SECCIONAL QUINDÍO </t>
  </si>
  <si>
    <t>ORDEN DE COMPRA NRO. 48641-48642</t>
  </si>
  <si>
    <t>LA ADQUISICIÓN DE ELEMENTOS DE LIMPIEZA Y DESINFECCIÓN Y ELEMENTOS DE PROTECCIÓN PERSONAL PARA LOS SERVIDORES JUDICIALES Y SEDES JUDICIALES DEL DISTRITO DE ARMENIA Y ADMINISTRATIVO DEL QUINDÍO, PARA LA PREVENCIÓN DEL CONTAGIO DE COVID-19.</t>
  </si>
  <si>
    <t>GRUPO CRUZ VELASQUEZ</t>
  </si>
  <si>
    <t>TAPABOCAS DESECHABLES</t>
  </si>
  <si>
    <t>ORDEN DE COMPRA NRO. 48644</t>
  </si>
  <si>
    <t>GRUPO EMPRESARIAL DE ASESORIAS Y SERVICIOS DE COLOMBIA S.A.S</t>
  </si>
  <si>
    <t>PAPEL VINIPEL ROLLO MINIMO DE 12.5 CM X 200 M</t>
  </si>
  <si>
    <t>ORDEN DE COMPRA NRO. 48645</t>
  </si>
  <si>
    <t>INDUHOTEL S.A.S</t>
  </si>
  <si>
    <t>TOALLA PARA MANOS ROLLO LONGITUD MINIMA DE 100 METROS</t>
  </si>
  <si>
    <t>ORDEN DE COMPRA NRO. 48646</t>
  </si>
  <si>
    <t>SUMIMAS S.A.S</t>
  </si>
  <si>
    <t>ORDEN DE COMPRA NRO. 49824</t>
  </si>
  <si>
    <t>LA ADQUISICIÓN DE LAVAMANOS PARA GARANTIZAR EL CUMPLIMIENTO DE LAS NORMAS MÍNIMAS DE ASEPSIA PERMANENTE PARA LOS SERVIDORES JUDICIALES COMO PARA LOS CLIENTES EXTERNOS Y PÚBLICO EN GENERAL QUE ASISTE AL PALACIO DE JUSTICIA “FABIO CALDERÓN BOTERO” DE ARMENIA Y “RAFAEL URIBE URIBE” DE CALARCÁ QUINDÍO.</t>
  </si>
  <si>
    <t>COLOMBIANA DE COMERCIO S.A. Y/O ALKOSTO S.A.</t>
  </si>
  <si>
    <t>LAVAMANOS PEDESTAL AUTOPORTANTE EN ACERO INOXIDABLE.</t>
  </si>
  <si>
    <t>ORDEN DE COMPRA NRO. 49825</t>
  </si>
  <si>
    <t>LA ADQUISICIÓN DE ELEMENTOS DE PROTECCIÓN PERSONAL PARA LOS SERVIDORES JUDICIALES DEL DISTRITO DE ARMENIA Y ADMINISTRATIVO DEL QUINDÍO, PARA PREVENIR LA PROPAGACIÓN Y EL CONTAGIO DEL COVID-19.</t>
  </si>
  <si>
    <t>OFIBEST S.A.S</t>
  </si>
  <si>
    <t>GUANTES DE NITRILO</t>
  </si>
  <si>
    <t>GUANTES DE NITRILO CAJA X 100 UNIDADES</t>
  </si>
  <si>
    <t>ORDEN DE COMPRA NRO. 50019</t>
  </si>
  <si>
    <t>LA ADQUISICIÓN DE ELEMENTOS DE PROTECCIÓN PERSONAL (CARETAS-VISORES) PARA LOS SERVIDORES JUDICIALES DISTRITO DE ARMENIA Y ADMINISTRATIVO DEL QUINDÍO, PARA LA PREVENCIÓN DEL CONTAGIO DE COVID-19</t>
  </si>
  <si>
    <t>ABBAPLAX S.A.S</t>
  </si>
  <si>
    <t>CARETAS VISORES (PROTECTOR FACIAL)</t>
  </si>
  <si>
    <t>ORDEN DE COMPRA NRO. 50957</t>
  </si>
  <si>
    <t>LA ADQUISICIÓN DE KIT´S DE GRIFERÍA PARA LAVAMANOS AUTOPORTANTES QUE SE VAN A UBICAR EN EL PALACIO DE JUSTICIA “FABIO CALDERÓN BOTERO” DE ARMENIA Y “RAFAEL URIBE URIBE” DE CALARCÁ QUINDÍO, CON EL FIN DE PREVENIR LA PROPAGACIÓN Y EL CONTAGIO DEL COVID-19.</t>
  </si>
  <si>
    <t>KIT DE GRIFERIA PARA LAVAMANOS (VALVULA DE PEDAL, 2 MANGUERAS DE ENTRADA Y SALIDA, MEDIDAS 1 MT X 6,0 CM Y EL PICO</t>
  </si>
  <si>
    <t>ORDEN DE COMPRA NRO. 51298</t>
  </si>
  <si>
    <t>LA ADQUISICIÓN DE DISPENSADORES PARA GEL Y/O JABÓN, PARA LOS SERVIDORES JUDICIALES, JUDICANTES Y USUARIOS DE LA JUSTICIA EN GENERAL DE LAS SEDES DEL DISTRITO JUDICIAL DE ARMENIA Y ADMINISTRATIVO DEL QUINDÍO, PARA PREVENIR LA PROPAGACIÓN Y EL CONTAGIO DE COVID-19.</t>
  </si>
  <si>
    <t>DISPENSADOR DE GEL Y/O JABÓN ESTRUCTURA PVC</t>
  </si>
  <si>
    <t xml:space="preserve">ARMENIA </t>
  </si>
  <si>
    <t>ORDEN DE COMPRA NRO. 52500</t>
  </si>
  <si>
    <t>ADQUISICIÓN DE CANECAS DE PEDAL DE COLOR NEGRO, DESTINADAS PARA LA DISPOSICIÓN FINAL DE LOS TAPABOCAS Y GUANTES DESECHABLES PARA CADA UNA DE LAS SEDES JUDICIALES DEL DISTRITO JUDICIAL Y ADMINISTRATIVO DEL QUINDÍO</t>
  </si>
  <si>
    <t>PANAMERICANA LIBRERÍA Y
PAPELERÍA S.A.</t>
  </si>
  <si>
    <t>PAPELERA DE PEDAL CUADRADA NEGRA DE 20 LITROS MATERIAL PLASTICO</t>
  </si>
  <si>
    <t>CONTRATO DE SUMINISTRO NRO. 13</t>
  </si>
  <si>
    <t>SUMINISTRO E INSTALACIÓN DE PANTALLAS EN VIDRIO TEMPLADO Y ACERO, QUE GARANTICEN LA PROTECCIÓN Y DISTANCIAMIENTO SOCIAL ENTRE LOS SERVIDORES JUDICIALES Y PÚBLICO EN GENERAL QUE ASISTE A LAS INSTALACIONES DONDE FUNCIONAN Y ADMINISTRAN JUSTICIA LOS JUECES DE LOS MUNICIPIOS QUE PERTENECEN AL DEPARTAMENTO DEL QUINDÍO Y ALGUNAS SEDES JUDICIALES EN ARMENIA QUINDÍO, CON EL FIN DE MITIGAR Y CONTROLAR LA PROPAGACIÓN DEL VIRUS COVID-19”.</t>
  </si>
  <si>
    <t>JUAN DAVID ECHEVERRY PAEZ</t>
  </si>
  <si>
    <t>PANTALLA MODULAR EN VIDRIO TEMPLADO DE 6MM, CON TUBO DE SUJECCIÓN DE 1 1/4 DE ACERO Y HERRAJE - DE 1.00 MT X 080 MTS DE ALTURA</t>
  </si>
  <si>
    <t>ORDEN DE COMPRA NRO. 53415</t>
  </si>
  <si>
    <t>ALQUILER DE ESCÁNERES CON EL FIN DE GARANTIZAR LA DIGITALIZACIÓN DE LOS EXPEDIENTES JUDICIALES PARA LA RAMA JUDICIAL EN EL DISTRITO JUDICIAL DE ARMENIA Y ADMINISTRATIVO DEL QUINDÍO</t>
  </si>
  <si>
    <t>SOLUTION COPY LTDA</t>
  </si>
  <si>
    <t>ORDEN DE COMPRA NRO. 42170</t>
  </si>
  <si>
    <t>LA PRESTACIÓN DE LOS SERVICIOS DE ASEO, MANTENIMIENTO Y SUMINISTRO DE ELEMENTOS DE ASEO Y CAFETERÍA, PARA LAS SEDES DONDE FUNCIONAN LOS DESPACHOS JUDICIALES Y SEDES ADMINISTRATIVAS A CARGO DE LA DIRECCIÓN SECCIONAL DE ADMINISTRACIÓN JUDICIAL DE ARMENIA, QUINDÍO.”</t>
  </si>
  <si>
    <t>LADOINSA LABORES DOTACIONES INDUSTRIALES S.A.S</t>
  </si>
  <si>
    <t>BOGOTÁ</t>
  </si>
  <si>
    <t>006-2020</t>
  </si>
  <si>
    <t>CONTRATAR LA PRESTACION DE SERVICIO DE ATENCIÓN DE URGENCIAS Y EMERGENCIAS MEDICAS EN SITIO, PARA TODOS LOS SERVIDORES , CONTRATISTAS, PROVEEDORES Y USUARIOS DE LA ADMINISTRACIÓN DE JUSTICIA DE LAS SEDES DE MAYOR CONCENTRACION POBLACIONAL A CARGO DE LA DIRECCIÓN EJECUTIVA SECCIONAL DE ADMINITRACIÓN JUDICIAL BOGOTÁ - CUNDINAMARCA</t>
  </si>
  <si>
    <t xml:space="preserve">EMERMEDICA S.A </t>
  </si>
  <si>
    <t>007-2020</t>
  </si>
  <si>
    <t>ADQUISICIÓN DE PRODUCTOS DE ASEPSIA TALES COMO GEL ANTIBACTERIAL, TOALLAS DE MANOS, TAPABOCAS QUIRÚRGICOS, ALCOHOL ANTISÉPTICO, PAPEL HIGIÉNICO BLANCO Y GUANTES DE LATEX EN
LAS CANTIDADES PRECITADAS EN LA COTIZACIÓN DEL PROVEEDOR B2 NETWORKS, QUE SE DEJO CONTEMPLADA EN LAS CONSIDERACIONES, LOS ELEMENTOS SERÁN PARA, PARA USO DE TODAS LAS
SEDES JUDICIALES Y ADMINISTRATIVAS A CARGO DE LA DIRECCIÓN EJECUTIVA SECCIONAL DE ADMINISTRACIÓN JUDICIAL BOGOTÁ – CUNDINAMARCA.</t>
  </si>
  <si>
    <t>B2 NETWORKS SAS</t>
  </si>
  <si>
    <t>TOALLAS DE MANOS PAQUETE X 150</t>
  </si>
  <si>
    <t>TOALLAS PARA MANOS</t>
  </si>
  <si>
    <t>TAPABOCAS</t>
  </si>
  <si>
    <t>ALCOHOL</t>
  </si>
  <si>
    <t>PAPEL HIGIENICO BLANCOROLLO X 30 MTS</t>
  </si>
  <si>
    <t>PAPEL HIGIENICO</t>
  </si>
  <si>
    <t>GUANTES DE LATEX PAQUETE X 100</t>
  </si>
  <si>
    <t>009-2020</t>
  </si>
  <si>
    <t>ADQUISICIÓN DE 58 COMPUTADORES PORTÁTILES, DE LAS SIGUIENTES CARACTERÍSTICAS: PROCESADOR INTEL CORE I5, UNIDAD DE ALMACENAMIENTO 1 TB, MEMORIA RAM 8GB, CÁMARA Y MICRÓFONO INTEGRADO HD720P, CONECTOR RJ-45 100/1000 M, LECTOR DE HUELLAS, UNIDAD DVD CONEXIÓN EXTERNA USB, SISTEMA OPERATIVO WINDOWS 10 PRO 64 – ESPAÑOL CON SU RESPECTIVA LICENCIAS DE MICROSOFT OFFICE 2019 STD GOVERNMENT OLP 1 LICENSE NOLEVEL,  PARA USO DE LOS FUNCIONARIOS JUDICIALES Y DEMÁS SERVIDORES PÚBLICOS ADSCRITOS A  LAS SEDES JUDICIALES Y ADMINISTRATIVAS A CARGO DE LA DIRECCIÓN EJECUTIVA SECCIONAL DE ADMINISTRACIÓN JUDICIAL BOGOTÁ – CUNDINAMARCA.</t>
  </si>
  <si>
    <t>CDG TECNOLOGIA S.A.S</t>
  </si>
  <si>
    <t>ADQUISICION COMPUTADORES PORTATILES</t>
  </si>
  <si>
    <t>COMPUTADOR</t>
  </si>
  <si>
    <t>ADQUISICION LICENCIAS</t>
  </si>
  <si>
    <t>LICENCIAS SW</t>
  </si>
  <si>
    <t>015-2020</t>
  </si>
  <si>
    <t>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t>
  </si>
  <si>
    <t>VALENTINA ORJUELA ORDOÑEZ</t>
  </si>
  <si>
    <t>016-2020</t>
  </si>
  <si>
    <t>EDWIN GIOVANNI DURAN PARDO</t>
  </si>
  <si>
    <t>017-2020</t>
  </si>
  <si>
    <t>JORGE ALEXANDER GAONA ORDOÑEZ</t>
  </si>
  <si>
    <t>018-2020</t>
  </si>
  <si>
    <t>ALBERTO GALINDO ORTIZ</t>
  </si>
  <si>
    <t>019-2020</t>
  </si>
  <si>
    <t>CONTRATAR EL ARRENDAMIENTO DE 150 EQUIPOS PORTÁTILES DE LAS SIGUIENTES CARACTERÍSTICAS: PROCESADOR INTEL CORE I5, UNIDAD DE ALMACENAMIENTO 500GB, MEMORIA RAM 8GB, CÁMARA Y MICRÓFONO INTEGRADO HD720P, CONECTOR RJ-45, UNIDAD ÓPTICA, SISTEMA OPERATIVO WINDOWS 10 CON LICENCIAMIENTO OFFICE 2013, QUE REQUIERAN LOS DESPACHOS JUDICIALES Y SEDES ADMINISTRATIVAS A CARGO DE ESTA DIRECCIÓN EJECUTIVA SECCIONAL DE ADMINISTRACIÓN JUDICIAL BOGOTÁ – CUNDINAMARCA.</t>
  </si>
  <si>
    <t>ALQUILER COMPUTADOR</t>
  </si>
  <si>
    <t>023-2020</t>
  </si>
  <si>
    <t>ADQUISICIÓN DE ELEMENTOS DE PROTECCIÓN PERSONAL QUE REQUIERAN LOS DESPACHOS JUDICIALES Y SEDES ADMINISTRATIVAS A CARGO DE ESTA DIRECCIÓN EJECUTIVA SECCIONAL DE ADMINISTRACIÓN JUDICIAL BOGOTÁ – CUNDINAMARCA, AMAZONAS.</t>
  </si>
  <si>
    <t>DOTACIONES EN SALUD DOTASALUD J.C. S.A.S</t>
  </si>
  <si>
    <t>MASCARILLA DE PROTECCIÓN RESPIRATORIA CONTRA PARTÍCULAS</t>
  </si>
  <si>
    <t>MONOGAFAS DE PROTECCON</t>
  </si>
  <si>
    <t>TRAJES DE PROTECCIÓN ANTI FLUIDO DESECHABLE</t>
  </si>
  <si>
    <t xml:space="preserve">TAPABOCAS QUIRURGICO TERMOSELLADO (NO  TEJIDO) </t>
  </si>
  <si>
    <t xml:space="preserve">GEL ALCOHOL ISOPROPÍLICO </t>
  </si>
  <si>
    <t>024-2020</t>
  </si>
  <si>
    <t>COMPRA DE DEPÓSITOS DE AGUA (LAVAMANOS) PORTÁTILES, CON LAS SIGUIENTES CARACTERÍSTICAS: LAVAMANOS PORTÁTIL FABRICADO EN FIBRA DE VIDRIO, EQUIPADO CON UNA BOMBA DE PEDAL PARA EL BOMBEO DE AGUA, CUENTA CON UN TANQUE DE AGUA LIMPIA DE 5 GALONES Y UNO DE AGUA RESIDUAL DE 5 GALONES</t>
  </si>
  <si>
    <t xml:space="preserve">BAÑOS BRASILIA S.A.S. </t>
  </si>
  <si>
    <t>LAVAMANOS PORTATIL FABRICADO EN FIBRA DE VIDRIO</t>
  </si>
  <si>
    <t>LAVAMANOS PORTATIL</t>
  </si>
  <si>
    <t>040-2020</t>
  </si>
  <si>
    <t>ADQUISICION DE TERMOMETROS INFRARROJOS DIGITALES</t>
  </si>
  <si>
    <t>ALCSETEC ALIANZAS COMERCIALES Y SERVICIOS TECNOLÓGICOS S.A.S</t>
  </si>
  <si>
    <t xml:space="preserve"> TERMOMETROS INFRARROJOS DIGITALES</t>
  </si>
  <si>
    <t>TERMOMETROS</t>
  </si>
  <si>
    <t>ADQUISICION DE CARETA DE PROTECCION</t>
  </si>
  <si>
    <t>CARETAS DE PROTECCION</t>
  </si>
  <si>
    <t>ADQUISICION DE ESCANNER DE MANOS, LECTOR DE CEDULAS</t>
  </si>
  <si>
    <t>GRUPO EMPRESARIAL CREAR DE COLOMBIA</t>
  </si>
  <si>
    <t>ESCANNER DE MANOS</t>
  </si>
  <si>
    <t>ADQUISICION DE GUANTES DE NITRILO</t>
  </si>
  <si>
    <t>AESTHETICS &amp; MEDICAL SOLUTIONS</t>
  </si>
  <si>
    <t>GUANTES DE NITRILO CAJA x 100</t>
  </si>
  <si>
    <t>SUMINISTRO DE DISPENSADORES DE GEL ANTIBACTERIAL PARA ACTIVACION DE PIE</t>
  </si>
  <si>
    <t>MARKETING STORE SAS</t>
  </si>
  <si>
    <t>DISPENSADORES DE GEL ANTIBACTERIAL</t>
  </si>
  <si>
    <t>ADQUISICION DE CINTAS PARA DEMARCAR ZONAS</t>
  </si>
  <si>
    <t>PANAMERICANA LIBRERÍA Y PAPELERIA</t>
  </si>
  <si>
    <t>ADQUISICION DE LAVAMANOS PORTATILES CON DISPENSADORES DE JABON Y TOALLAS</t>
  </si>
  <si>
    <t>LAVAMANOS PORTATIL CON DISPENSADORES DE JABON Y TOALLAS</t>
  </si>
  <si>
    <t>ADQUISICION DE CANECAS DE PEDAL 20 LTS COLOR GRIS</t>
  </si>
  <si>
    <t>BUCARAMANGA</t>
  </si>
  <si>
    <t>BGA-011-2020</t>
  </si>
  <si>
    <t>DOTACION DE TRAJES DE BIOSEGURIDAD</t>
  </si>
  <si>
    <t>TRAJES DE PROTECCION CORPORAL MARCA KIMBERLY</t>
  </si>
  <si>
    <t>MONOGAFAS WIND VENTILACION DIRECTA</t>
  </si>
  <si>
    <t>BGA-012-2020</t>
  </si>
  <si>
    <t xml:space="preserve">COMPRAVENTA DE CÁMARAS WEB TIPO HD Y DIADEMAS CON CONEXIÓN USB PARA DESARROLLAR PRINCIPALMENTE LAS AUDIENCIAS DE CONTROL DE GARANTÍAS DEL SISTEMA PENAL ACUSATORIO Y DEL SISTEMA PENAL PARA ADOLESCENTES COMO MECANISMO PARA ATENDER LA EMERGENCIA SANITARIA OCASIONADA POR EL COVID-19 </t>
  </si>
  <si>
    <t>JERSON FABIAN SUAREZ BENITEZ</t>
  </si>
  <si>
    <t>WEBCAMLOGITECH C-270 HD: CÁMARAWEB CON CONECTIVIDAD INALÁMBRICA COLOR NEGRO.</t>
  </si>
  <si>
    <t>WEBCAM</t>
  </si>
  <si>
    <t>DIADEMA LOGITECH USB HEADSET H-390: AURICULARES CON  MICRÓFONO  USB  PARA  ORDENADOR. LAS BOCINAS DE LOS AUDÍFONOS SON DE ALTA CALIDAD REPRODUCEN UN EXCELENTE AUDIO Y EL MICRÓFONO AJUSTABLE CON SUPRESIÓN DE RUIDO ASEGURA UNA COMUNICACIÓN CLARA.</t>
  </si>
  <si>
    <t>DIADEMAS</t>
  </si>
  <si>
    <t>BGA-015-2020</t>
  </si>
  <si>
    <t>ADQUISICIÓN DE ELEMENTOS DE PROTECCIÓN PERSONAL ESPECÍFICAMENTE TAPABOCAS REUTILIZABLES</t>
  </si>
  <si>
    <t xml:space="preserve">TURISMO Y TIENDA ESPECIALIZADA EN ALTURAS Y AVENTURA S.A.S </t>
  </si>
  <si>
    <t>TAPABOCAS LAVABLE, CON CAPA ANTIFLUIDO Y CAMBRE, ELÁSTICO A LAS OREJAS, DE TAMAÑO NORMAL Y UN TAMAÑO UN POCO MÁS PEQUEÑO PARA NIÑOS.</t>
  </si>
  <si>
    <t>O.C. 46421</t>
  </si>
  <si>
    <t>SUMINISTRO DE ELEMENTOS DE ASEO Y PROTECCIÓN</t>
  </si>
  <si>
    <t>PANAMERICANA LIBRERÍA Y PAPELERIA SA</t>
  </si>
  <si>
    <t>LITRO</t>
  </si>
  <si>
    <t>TOALLA P/MANOS BLANCO Z D/HFAJO X150UN COD. 900502987</t>
  </si>
  <si>
    <t>O.C. 48149</t>
  </si>
  <si>
    <t>ADQUISICIÓN DE TERMÓMETROS INFRARROJOS CORPORALES</t>
  </si>
  <si>
    <t>FALABELLA DE COLOMBIA S.A.</t>
  </si>
  <si>
    <t>TERMÓMETRO INFRAROJO DIGITAL- HC</t>
  </si>
  <si>
    <t>O.C. 48150</t>
  </si>
  <si>
    <t>ADQUISICIÓN DE BAYETILLAS BLANCAS DE 35 X 50 CMS PARA LIMPIEZA DE SUPERFICIES</t>
  </si>
  <si>
    <t xml:space="preserve">PANAMERICANA LIBRERÍA Y PAPELERÍA S.A. </t>
  </si>
  <si>
    <t>BAYETILLA BLANCA 35 X 50 CMS. COD:8490681</t>
  </si>
  <si>
    <t>BAYETILLA</t>
  </si>
  <si>
    <t>O.C. 48216</t>
  </si>
  <si>
    <t>ADQUISICIÓN DE PA-17 GEL ANTIBACTERIAL - GALÓN</t>
  </si>
  <si>
    <t>JAIME BELTRAN URIBE - POLYFLEX</t>
  </si>
  <si>
    <t>O.C. 48217</t>
  </si>
  <si>
    <t>ADQUISICIÓN DE PA-18 GEL ANTIBACTERIAL - FRASCO X1LT</t>
  </si>
  <si>
    <t xml:space="preserve">JM GRUPO EMPRESARIAL S.A.S </t>
  </si>
  <si>
    <t>COV01-PA-18 - GEL ANTIBACTERIAL -</t>
  </si>
  <si>
    <t>O.C. 48218</t>
  </si>
  <si>
    <t>ADQUISICIÓN DE PA-1 ALCOHOL – FRASCO DE 750 ML</t>
  </si>
  <si>
    <t>BGA-016-2020</t>
  </si>
  <si>
    <t>ADQUISICIÓN DE KIT DE DESINFECCIÓN, QUE INCLUYE DE TAPETE EN LÍQUIDO, TAPETE DE SECADO Y SANITIZANTE EN SOLUCIÓN</t>
  </si>
  <si>
    <t>COMERCIALIZADORA DA VINCI SAS</t>
  </si>
  <si>
    <t>KIT CONTIENE 2 TAPETES PARA DESINFECCION EN LIQUIDO</t>
  </si>
  <si>
    <t>TAPETE DESINFECTANTE</t>
  </si>
  <si>
    <t>SANITIZANTE EN SOLUCION</t>
  </si>
  <si>
    <t>O.C. 48345</t>
  </si>
  <si>
    <t>ADQUISICIÓN DE PILAS 9V PARA TERMOMETROS</t>
  </si>
  <si>
    <t>PANAMERICANA LIBRERÍA Y PAPELERÍA S.A.</t>
  </si>
  <si>
    <t>PILA ALKALINA 9V ENERGIZER MAXCOD: 8096731</t>
  </si>
  <si>
    <t>PILAS</t>
  </si>
  <si>
    <t>BGA-017-2020</t>
  </si>
  <si>
    <t>PRESTACIÓN DEL SERVICIO DE ALQUILER DE 53 ESCÁNER CAMA PLANA DE 50PPM PARA FUNCIONAMIENTO DE LOS CENTROS DE ESCANEO EN ALGUNAS SEDES JUDICIALES</t>
  </si>
  <si>
    <t>PC COM S.A.</t>
  </si>
  <si>
    <t xml:space="preserve">SERVICIO DE ALQUILER DE 7 ESCANERES CON INSTALACIÓN </t>
  </si>
  <si>
    <t xml:space="preserve">SERVICIO DE ALQUILER DE 46 ESCANERES  SIN INSTALACIÓN </t>
  </si>
  <si>
    <t xml:space="preserve">ADICION SERVICIO DE ALQUILER DE 53 ESCANERES SIN INSTALACIÓN </t>
  </si>
  <si>
    <t>O.C. 48745</t>
  </si>
  <si>
    <t>ADQUISICIÓN DE GUANTES DE NITRILO, EN LAS CONDICIONES TÉCNICAS, DE CALIDAD Y CANTIDADES REQUERIDAS POR LA ENTIDAD</t>
  </si>
  <si>
    <t xml:space="preserve">OFIBEST SAS </t>
  </si>
  <si>
    <t>O.C. 48844</t>
  </si>
  <si>
    <t>ADQUISICIÓN DE LAVAMANOS PORTÁTILES AUTÓNOMOS COMO MECANISMO DE PREVENCIÓN AL CONTAGIO DEL COVID-19</t>
  </si>
  <si>
    <t>COLOMBIANA DE COMERCIO S.A Y/O ALKOSTO S.A</t>
  </si>
  <si>
    <t>LAVAMANOS AUTONOMO PORTATIL EN ACERO INOXIDABLE</t>
  </si>
  <si>
    <t>O.C 49177</t>
  </si>
  <si>
    <t>ADQUISICIÓN DE DISPENSADORES DE GEL PARA DIFERENTES SEDES JUDICIALES EN LAS CONDICIONES TÉCNICAS, DE CALIDAD Y CANTIDADES REQUERIDAS POR LA ENTIDAD.</t>
  </si>
  <si>
    <t xml:space="preserve">CENCOSUD COLOMBIA S.A. </t>
  </si>
  <si>
    <t>DISPENSADOR DE GEL PLANO TUBERIA 1PULGADA NEGRO</t>
  </si>
  <si>
    <t>O.C. 49312</t>
  </si>
  <si>
    <t>ADQUISICIÓN DE TAPABOCAS DESECHABLES, EN LAS CONDICIONES TÉCNICAS, DE CALIDAD Y CANTIDADES REQUERIDAS POR LA ENTIDAD.</t>
  </si>
  <si>
    <t>O.C 49216</t>
  </si>
  <si>
    <t>ADQUISICIÓN DE TAPABOCAS DESECHABLES EN LAS CONDICIONES TÉCNICAS, DE CALIDAD Y CANTIDADES REQUERIDAS POR LA ENTIDAD</t>
  </si>
  <si>
    <t>INDUHOTEL SAS</t>
  </si>
  <si>
    <t>O.C. 49219</t>
  </si>
  <si>
    <t>ADQUISICIÓN DE TOALLAS PARA MANOS, EN LAS CONDICIONES TÉCNICAS, DE CALIDAD Y CANTIDADES REQUERIDAS POR LA ENTIDAD,</t>
  </si>
  <si>
    <t>PMI PROYECTOS MONTAJES E INGENIERIA</t>
  </si>
  <si>
    <t>O.C. 49861</t>
  </si>
  <si>
    <t xml:space="preserve">ADQUISICIÓN DE CARETAS DE PROTECCIÓN, EN LAS CONDICIONES TÉCNICAS, DE CALIDAD Y CANTIDADES REQUERIDAS POR LA ENTIDAD </t>
  </si>
  <si>
    <t>ABBAPLAX SAS</t>
  </si>
  <si>
    <t>CARETAS VISORES</t>
  </si>
  <si>
    <t>CARETAS</t>
  </si>
  <si>
    <t>BGA-020-2020</t>
  </si>
  <si>
    <t xml:space="preserve"> ADQUISICIÓN DE SEÑALIZACIÓN COVID PARA SEDES JUDICIALES Y ADMINISTRATIVAS</t>
  </si>
  <si>
    <t>RAMIRO BAUTISTA CACERES/ LITOGRAFÍA RABAC DISTRIBUCIONES</t>
  </si>
  <si>
    <t>RÓTULOS INFORMATIVOS EN POLIESTIRENO 50 X 70 CM</t>
  </si>
  <si>
    <t>SEÑALIZACION</t>
  </si>
  <si>
    <t>RÓTULOS INFORMATIVOS EN POLIESTIRENO 30 X 14 CM</t>
  </si>
  <si>
    <r>
      <t>IMPRESIÓN EN VINILO ADHESIVO LAMINADO CON FLOOR GRAPHIC 5CM X 1MT LINEAL</t>
    </r>
    <r>
      <rPr>
        <sz val="12"/>
        <color rgb="FF000000"/>
        <rFont val="Times New Roman"/>
        <family val="1"/>
      </rPr>
      <t xml:space="preserve"> </t>
    </r>
  </si>
  <si>
    <t>BGA-021-2020</t>
  </si>
  <si>
    <t>CONTRATAR LA PRESTACIÓN DE SERVICIOS DE APOYO DE VIGÍAS DE SALUD PARA EL FORTALECIMIENTO DE LAS MEDIDAS DE PREVENCIÓN DEL CONTAGIO Y DE LA PROPAGACIÓN DEL COVID -19, ENCARGADOS DE LA TOMA DE TEMPERATURA CORPORAL O DILIGENCIAMIENTO DEL FORMATO DE ESTADO DE SALUD, ENTREGA DE ELEMENTOS DE PROTECCIÓN A SERVIDORES JUDICIALES, CONTRATISTAS Y JUDICANTES, Y DE VELAR POR EL CUMPLIMIENTO DE LOS PROTOCOLOS DE BIOSEGURIDAD DEFINIDOS POR LA ENTIDAD, EN LAS SEDES JUDICIALES DE MAYOR AFLUENCIA DE LA SECCIONAL SANTANDER</t>
  </si>
  <si>
    <r>
      <t>JUNTA DEFENSA CIVIL BARRIO LA JOYA</t>
    </r>
    <r>
      <rPr>
        <sz val="11"/>
        <color indexed="8"/>
        <rFont val="Arial"/>
        <family val="2"/>
      </rPr>
      <t xml:space="preserve"> </t>
    </r>
  </si>
  <si>
    <t>O.C. 51658</t>
  </si>
  <si>
    <t>COMPRA DE CAMARAS PARA ESCRITORIO - DIGITECH PRO</t>
  </si>
  <si>
    <t xml:space="preserve">MULTIVERSE TECH SERVICES SAS </t>
  </si>
  <si>
    <t>CAMARAS PARA ESCRITORIO DIGITECH PRO</t>
  </si>
  <si>
    <t>O.C. 52831</t>
  </si>
  <si>
    <t>O.C. 52832</t>
  </si>
  <si>
    <t>AESTHETICS &amp; MEDICAL SOLUTIONS SAS</t>
  </si>
  <si>
    <t>UNIDAD</t>
  </si>
  <si>
    <t>KIT</t>
  </si>
  <si>
    <t>CALI</t>
  </si>
  <si>
    <t>OC 45989-2020</t>
  </si>
  <si>
    <t>ADQUISICIÓN DE JABÓN LÍQUIDO Y TOALLAS DE PAPEL PARA MANOS, CON DESTINO A LOS FUNCIONARIOS Y EMPLEADOS DE LAS CORPORACIONES Y DESPACHOS JUDICIALES DEL VALLE DEL CAUCA, EN ATENCIÓN Y APLICACIÓN DE LOS LINEAMIENTOS EMITIDOS POR EL MINISTERIO DE TRABAJO EN LA CIRCULAR NO. 0017 DE FECHA 24 DE FEBRERO DE 2020 – COVID-19”.</t>
  </si>
  <si>
    <t>PANAMERICANA LIBRERÍA Y PAPELERIA S.A.</t>
  </si>
  <si>
    <t xml:space="preserve">TOALLA PARA MANOS ROLLO X 100 MT TRIPLE HOJA PRECORTADA POR (500 HOJAS) </t>
  </si>
  <si>
    <t>014-2020</t>
  </si>
  <si>
    <t>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t>
  </si>
  <si>
    <t>CONASEINVES S.A.S.</t>
  </si>
  <si>
    <t>GAFA DE SEGURIDAD INDUSTRIAL LENTE TRANS</t>
  </si>
  <si>
    <t>GAFAS</t>
  </si>
  <si>
    <t>TAPABOCAS DE 3 PLIEGUES CON CORDÓN ELÁSTICO</t>
  </si>
  <si>
    <t>GUANTES NITRILO CAJA 100 UNIDADES, 50 PARES</t>
  </si>
  <si>
    <t>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t>
  </si>
  <si>
    <t>OVEROL DE CON CAPUCHA DE BIOSEGURIDAD</t>
  </si>
  <si>
    <t>OC 48145-2020</t>
  </si>
  <si>
    <t>ADQUISICIÓN DE TERMÓMETROS DIGITALES PARA APOYO A LA MITIGACIÓN DEL VIRUS COVID-19 PARA LOS DIFERENTES INMUEBLES DONDE FUNCIONA LA RAMA JUDICIAL DEL VALLE DEL CAUCA</t>
  </si>
  <si>
    <t>FALABELLA DE COLOMBIA SA</t>
  </si>
  <si>
    <t>TERMÓMETRO DIGITAL INFRARROJO (TIENDA VIRTUAL)</t>
  </si>
  <si>
    <t>OC 48322-2020</t>
  </si>
  <si>
    <t>ADQUISICIÓN DE ALCOHOL GLICERINADO (GEL ANTIBACTERIAL) PARA LA ANTISEPSIA DE MANOS DE LOS FUNCIONARIOS Y EMPLEADOS DE LAS CORPORACIONES Y DESPACHOS JUDICIALES DEL VALLE DEL CAUCA, TENIENDO EN CUENTA LA EMERGENCIA SANITARIA QUE SE VIENE PRESENTANDO EN EL PAÍS POR CAUSA DEL VIRUS COVID-19.</t>
  </si>
  <si>
    <t>ALCOHOL ISOPROPILICO EN GEL PARA ANTISEPSIA DE MANOS, 70ML+2G/100ML</t>
  </si>
  <si>
    <t>OC 48655-2020</t>
  </si>
  <si>
    <t>ADQUISICIÓN DE CARETAS DE PROTECCIÓN PARA LOS FUNCIONARIOS Y EMPLEADOS DE LAS CORPORACIONES Y DESPACHOS JUDICIALES DEL VALLE DEL CAUCA, TENIENDO EN CUENTA LA EMERGENCIA SANITARIA QUE SE VIENE PRESENTANDO EN EL PAÍS POR CAUSA DEL VIRUS COVID-19</t>
  </si>
  <si>
    <t>CARETA DE PROTECCIÓN FACIAL</t>
  </si>
  <si>
    <t>OC 48656-2020</t>
  </si>
  <si>
    <t>ADQUISICIÓN DE JABÓN LÍQUIDO PARA LAVADO DE MANOS DE LOS FUNCIONARIOS Y EMPLEADOS DE LAS CORPORACIONES Y DESPACHOS JUDICIALES DEL VALLE DEL CAUCA, TENIENDO EN CUENTA LA EMERGENCIA SANITARIA QUE SE VIENE PRESENTANDO EN EL PAÍS POR CAUSA DEL VIRUS COVID-19</t>
  </si>
  <si>
    <t>021-2020</t>
  </si>
  <si>
    <t xml:space="preserve">CONTRATAR EN NOMBRE DE LA NACIÓN - CONSEJO SUPERIOR DE LA JUDICATURA – DIRECCIÓN EJECUTIVA SECCIONAL DE ADMINISTRACIÓN JUDICIAL DE CALI – VALLE DEL CAUCA, LA ADQUISICIÓN DE TAPABOCAS PARA PROTECCIÓN Y USO POR PARTE DE LOS FUNCIONARIOS Y EMPLEADOS DE LAS CORPORACIONES Y DESPACHOS JUDICIALES DEL VALLE DEL CAUCA, TENIENDO EN CUENTA LA EMERGENCIA SANITARIA QUE SE VIENE PRESENTANDO EN EL PAÍS POR CAUSA DEL VIRUS COVID-19. </t>
  </si>
  <si>
    <t>ASOCIACION DESARROLLANDO FUTURO</t>
  </si>
  <si>
    <t>OC 48921-2020</t>
  </si>
  <si>
    <t>ADQUISICIÓN DE BAYETILLAS PARA LA LIMPIEZA DE LOS PUESTOS DE TRABAJO DE LAS CORPORACIONES Y DESPACHOS JUDICIALES DEL VALLE DEL CAUCA, TENIENDO EN CUENTA LA EMERGENCIA SANITARIA QUE SE VIENE PRESENTANDO EN EL PAÍS POR CAUSA DEL VIRUS COVID-19.</t>
  </si>
  <si>
    <t>BAYETILLA DE COLOR ROJO, MEDIDAS 36X50 CM</t>
  </si>
  <si>
    <t>OC 49021-2020</t>
  </si>
  <si>
    <t>ADQUISICIÓN DE ALCOHOL PARA LA PREVENCIÓN DEL CONTAGIO DEL VIRUS COVID-19 DE LOS FUNCIONARIOS Y EMPLEADOS DE LAS CORPORACIONES Y DESPACHOS JUDICIALES DEL VALLE DEL CAUCA, TENIENDO EN CUENTA LA EMERGENCIA SANITARIA QUE SE VIENE PRESENTANDO EN EL PAÍS</t>
  </si>
  <si>
    <t>OC 49166-2020</t>
  </si>
  <si>
    <t xml:space="preserve">ADQUISICIÓN DE CÁMARAS WEB PARA LAS CORPORACIONES Y DESPACHOS JUDICIALES DEL VALLE DEL CAUCA, TENIENDO EN CUENTA LA EMERGENCIA SANITARIA QUE SE VIENE PRESENTANDO EN EL PAÍS POR CAUSA DEL VIRUS COVID-19.	</t>
  </si>
  <si>
    <t>MULTIVERSE TECH  SERVICES S.A.S</t>
  </si>
  <si>
    <t>CAMARAS WEB PARA COMPUTADOR DE ESCRITORIO - MARCA DIGITECH PRO - RESOLUCIÓN FULL HD 1080P O HD 720P, CON UN CAMPO VISUAL DE HASTA 90 GRADOS, ZOOM DIGITAL 1.2X O 4X, LENTE DE CRISTAL CON CORRECCIÓN DE ILUMINACIÓN AUTOMÁTICA RIGHTLIGTH2 Y ENFOQUE AUTOMÁTICO, INCLUYE SOPORTE AJUSTABLE QUE PERMITA LA COLOCACIÓN SOBRE TODO TIEMPO DE MONITORES, TAPA DE PRIVACIDAD INTEGRADA Y MICRÓFONO CON SUPRESIÓN DE RUIDO, DEBE GARANTIZAR COMPATIBILIDAD CON APLICACIONES DE VIDEOCONFERENCIA Y OTROS EQUIPOS.</t>
  </si>
  <si>
    <t>OC 49167-2020</t>
  </si>
  <si>
    <t>ADQUISICIÓN DE TOALLAS DE PAPEL PARA MANOS PARA USO DE LOS FUNCIONARIOS Y EMPLEADOS DE LAS CORPORACIONES Y DESPACHOS JUDICIALES DEL VALLE DEL CAUCA, TENIENDO EN CUENTA LA EMERGENCIA SANITARIA QUE SE VIENE PRESENTANDO EN EL PAÍS POR CAUSA DEL VIRUS COVID-19.</t>
  </si>
  <si>
    <t>TOALLAS PARA MANOS - ROLLO POR 500 HOJAS</t>
  </si>
  <si>
    <t>022-2020</t>
  </si>
  <si>
    <t>CONTRATAR EN NOMBRE DE LA NACIÓN - CONSEJO SUPERIOR DE LA JUDICATURA – DIRECCIÓN EJECUTIVA SECCIONAL DE ADMINISTRACIÓN JUDICIAL DE CALI – VALLE DEL CAUCA, LA ADQUISICIÓN DE LAVAMANOS PORTÁTILES PARA LAS CORPORACIONES Y DESPACHOS JUDICIALES DEL VALLE DEL CAUCA, TENIENDO EN CUENTA LA EMERGENCIA SANITARIA QUE SE VIENE PRESENTANDO EN EL PAÍS POR CAUSA DEL VIRUS COVID-19.</t>
  </si>
  <si>
    <t>FILTRACIÓN INDUSTRIAL Y TRATAMIENTO DE AGUAS LTDA</t>
  </si>
  <si>
    <t>LAVAMANOS PORTATILES EN FIBRA DE VIDRIO</t>
  </si>
  <si>
    <t xml:space="preserve">CONTRATAR EN NOMBRE DE LA NACIÓN - CONSEJO SUPERIOR DE LA JUDICATURA – DIRECCIÓN EJECUTIVA SECCIONAL DE ADMINISTRACIÓN JUDICIAL DE CALI – VALLE DEL CAUCA, LA ADQUISICIÓN DE GUANTES DE NITRILO Y TAPETES DESINFECTANTES PARA LAS CORPORACIONES Y DESPACHOS JUDICIALES DEL VALLE DEL CAUCA, TENIENDO EN CUENTA LA EMERGENCIA SANITARIA QUE SE VIENE PRESENTANDO EN EL PAÍS POR CAUSA DEL VIRUS COVID-19. </t>
  </si>
  <si>
    <t>REDOX COLOMBIA SAS</t>
  </si>
  <si>
    <t>GUANTES DE NITRILO CAJA DE 100 UNIDADES, 50 PARES</t>
  </si>
  <si>
    <t>OC 50590-2020</t>
  </si>
  <si>
    <t>ADQUISICIÓN DE CARETAS FACIALES PARA USO DE LOS FUNCIONARIOS Y EMPLEADOS DE LAS CORPORACIONES Y DESPACHOS JUDICIALES DEL VALLE DEL CAUCA, TENIENDO EN CUENTA LA EMERGENCIA SANITARIA QUE SE VIENE PRESENTANDO EN EL PAÍS POR CAUSA DEL VIRUS COVID-19</t>
  </si>
  <si>
    <t>PLASTICOS FENIX S.A.S</t>
  </si>
  <si>
    <t>025-2020</t>
  </si>
  <si>
    <t>CONTRATAR EN NOMBRE DE LA NACIÓN – CONSEJO SUPERIOR DE LA JUDICATURA – DIRECCIÓN EJECUTIVA SECCIONAL DE ADMINISTRACIÓN JUDICIAL DE CALI – VALLE DEL CAUCA, LA PRESTACIÓN DE SERVICIO DE AUXILIARES DE ENFERMERÍA PARA LAS SEDES JUDICIALES EN EL VALLE DEL CAUCA, TENIENDO EN CUENTA LA EMERGENCIA SANITARIA QUE SE VIENE PRESENTANDO EN EL PAÍS POR CAUSA DEL VIRUS COVID-19 Y LO DISPUESTO EN EL ARTICULO 18 DEL ACUERDO PCSJA20-11567 DEL 05 DE JUNIO DE 2020.</t>
  </si>
  <si>
    <t>CENTRO DE SERVICIOS DE SALUD SANTANGEL SAS</t>
  </si>
  <si>
    <t>SERVICIO DE AUXILIARES DE ENFERMERIA (23 AUXILIARES POR MES PARA 6 MESES)</t>
  </si>
  <si>
    <t>026-2020</t>
  </si>
  <si>
    <t xml:space="preserve">CONTRATAR EN NOMBRE DE LA NACIÓN – CONSEJO SUPERIOR DE LA JUDICATURA – DIRECCIÓN EJECUTIVA SECCIONAL DE ADMINISTRACIÓN JUDICIAL DE CALI – VALLE DEL CAUCA, LA ADQUISICION DE DISPENSADORES DE PEDAL PARA ALCOHOL GLICERINADO (GEL ANTIBACTERIAL) Y SUMINISTRO DE TERMÓMETRO INFRARROJO DIGITAL PARA LAS CORPORACIONES Y DESPACHOS JUDICIALES DEL VALLE DEL CAUCA, TENIENDO EN CUENTA LA EMERGENCIA SANITARIA QUE SE VIENE PRESENTANDO EN EL PAÍS POR CAUSA DEL VIRUS COVID-19. </t>
  </si>
  <si>
    <t>MEGA SUMINISTROS SAS</t>
  </si>
  <si>
    <t xml:space="preserve">DISPENSADOR METÁLICO DE PEDAL </t>
  </si>
  <si>
    <t xml:space="preserve">TERMOMETRO INFRAROJO DIGITAL </t>
  </si>
  <si>
    <t>027-2020</t>
  </si>
  <si>
    <t>ADQUISICIÓN DE BATAS DE TRABAJO TENIENDO EN CUENTA LA CIRCULAR PCSJC20-15 DE FECHA 16 DE ABRIL DE 2020, EN VIRTUD DEL PROTOCOLO PARA EL MANEJO DE DOCUMENTOS FÍSICOS, MEDIDAS COVID-19.</t>
  </si>
  <si>
    <t xml:space="preserve">BATAS DE TRABAJO ARCHIVO, MANGA LARGA, COLOR BLANCO, DE LARGO 85cm, TALLAS M, L, XL. </t>
  </si>
  <si>
    <t>BATA</t>
  </si>
  <si>
    <t>030-2020</t>
  </si>
  <si>
    <t>ADQUISICIÓN DE TAPABOCAS PARA PROTECCIÓN DE LOS FUNCIONARIOS Y EMPLEADOS DE LAS CORPORACIONES Y DESPACHOS JUDICIALES DEL VALLE DEL CAUCA, TENIENDO EN CUENTA LA EMERGENCIA SANITARIA QUE SE VIENE PRESENTANDO EN EL PAÍS POR CAUSA DEL VIRUS COVID-19</t>
  </si>
  <si>
    <t>MQ INSTITUCIONAL SAS</t>
  </si>
  <si>
    <t>TAPABOCAS QUIRÚRGICO, TRES (3) CAPAS, TRES (3) PLIEGUES, CON ADAPTADOR NASAL AJUSTABLE, BANDAS ELÁSTICAS PARA AJUSTE EN OREJAS, MEDIDAS APROXIMADAS: 175 MM × 95 MM X ± 2 MM, DEBEN VENIR EN EMPAQUE INDIVIDUAL Y TERMO-SELLADOS.</t>
  </si>
  <si>
    <t>CARTAGENA</t>
  </si>
  <si>
    <t>CT04-24-2020</t>
  </si>
  <si>
    <t>ADQUISICIÓN DE DOTACIÓN DE BIOSEGURIDAD CONSISTENTE EN TRAJES DE PROTECCIÓN CORPORAL PARA SERVIDORES JUDICIALES ESPECIALMENTE DE LOS JUZGADOS DE GARANTÍAS, EN LAS CONDICIONES TÉCNICAS, DE CALIDAD Y CANTIDADES REQUERIDAS POR LA ENTIDAD</t>
  </si>
  <si>
    <t>Technical Solutions Safety SAS</t>
  </si>
  <si>
    <t>TRAJES DE PROTECCIÓN CORPORAL</t>
  </si>
  <si>
    <t>CT04-25-2020</t>
  </si>
  <si>
    <t>ADQUISICIÓN DE GEL ANTIBACTERIAL PARA LOS SERVIDORES JUDICIALES Y EMPLEADOS JUDICIALES DE LAS OFICINAS ADMINISTRATIVAS Y DESPACHOS JUDICIALES A CARGO DE LA DIRECCIÓN SECCIONAL DE ADMINISTRACIÓN JUDICIAL DE CARTAGENA.</t>
  </si>
  <si>
    <t>SEBASTIAN VALENCIA ARANGO</t>
  </si>
  <si>
    <t>CT04-34-2020</t>
  </si>
  <si>
    <t>COMPRA DE TAPABOCAS DESECHABLE Y DE TELA PARA LA PROTECCIÓN PERSONAL DE LOS SERVIDORES JUDICIALES Y EMPLEADOS JUDICIALES DE LAS OFICINAS ADMINISTRATIVAS Y DESPACHOS JUDICIALES
A CARGO DE LA DIRECCIÓN SECCIONAL DE ADMINISTRACIÓN JUDICIAL DE CARTAGENA.</t>
  </si>
  <si>
    <t>INGENYO S.A.S</t>
  </si>
  <si>
    <t>CT04-36-2020</t>
  </si>
  <si>
    <t>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t>
  </si>
  <si>
    <t>VIALCONSULTORES S.A</t>
  </si>
  <si>
    <t>TERMÓMETRO INFRARROJO</t>
  </si>
  <si>
    <t>TOALLA PARA MANOS EN ROLLO 15 CM ANCHO Y 100 M LARGO</t>
  </si>
  <si>
    <t>CT04-38-2020</t>
  </si>
  <si>
    <t>COMPRA DE GUANTES DE NITRILO, PARA LA PROTECCIÓN PERSONAL Y PREVENCIÓN DE CONTAGIO DE COVID-19 DE LOS SERVIDORES JUDICIALES Y EMPLEADOS JUDICIALES DE LAS OFICINAS ADMINISTRATIVAS Y DESPACHOS JUDICIALES A CARGO DE LA DIRECCIÓN SECCIONAL DE ADMINISTRACIÓN JUDICIAL DE CARTAGENA.</t>
  </si>
  <si>
    <t>CAJA X 100 UNIDADES DE GUANTES DE NITRILO DESECHABLES</t>
  </si>
  <si>
    <t>O.C. 47627</t>
  </si>
  <si>
    <t>CONTRATAR EN NOMBRE DE LA NACIÓN – CONSEJO SUPERIOR DE LA JUDICATURA EL SERVICIO DE SUMINISTRO DE GEL ANTIBACTERIAL Y GUANTES QUIRÚRGICOS PARA LOS DIFERENTES DESPACHOS JUDICIALES Y OFICINAS ADMINISTRATIVAS A CARGO DE LA DIRECCIÓN SECCIONAL DE ADMINISTRACIÓN JUDICIAL DE CARTAGENA, ESTE PROCEDIMIENTO SERÁ REALIZADO MEDIANTE LA PLATAFORMA DE TIENDA VIRTUAL DEL ESTADO COLOMBIANO DE COLOMBIA</t>
  </si>
  <si>
    <t>2020/04/27</t>
  </si>
  <si>
    <t>JM GRUPO EMPRESARIAL S.A.S</t>
  </si>
  <si>
    <t>CAJA X 100 UNIDADES DE GUANTES QUIRÚRGICOS.</t>
  </si>
  <si>
    <t>O.C. 47628</t>
  </si>
  <si>
    <t>GEL ANTIBACTERIAL 1 LITRO</t>
  </si>
  <si>
    <t>O.C. 48032</t>
  </si>
  <si>
    <t>ADQUISICIÓN DE DOTACIÓN DE TAPABOCAS DESECHABLES Y DE TELA PARA SERVIDORES JUDICIALES Y EMPLEADOS JUDICIALES DE LAS OFICINAS ADMINISTRATIVAS Y DESPACHOS JUDICIALES A CARGO DE LA DIRECCIÓN SECCIONAL DE ADMINISTRACIÓN JUDICIAL DE CARTAGENA.</t>
  </si>
  <si>
    <t>TECNOINNSOFT SAS</t>
  </si>
  <si>
    <t>O.C. 48033</t>
  </si>
  <si>
    <t>ADQUISICIÓN DE DOTACIÓN DE GUANTES DE NITRILO PARA SERVIDORES JUDICIALES Y EMPLEADOS JUDICIALES DE LAS OFICINAS ADMINISTRATIVAS Y DESPACHOS JUDICIALES A CARGO DE LA DIRECCIÓN SECCIONAL DE ADMINISTRACIÓN JUDICIAL DE CARTAGENA.</t>
  </si>
  <si>
    <t>GUANTES DE NITRILO CAJA X 100</t>
  </si>
  <si>
    <t>O.C. 48052</t>
  </si>
  <si>
    <t>SERVICIO DE SUMINISTRO DE ELEMENTOS DE PROTECCIÓN PERSONAL Y ASEO, JABON LIQUIDO PARA MANOS, PARA LOS DIFERENTES DESPACHOS JUDICIALES Y OFICINAS ADMINISTRATIVAS A CARGO DE LA DIRECCIÓN SECCIONAL DE ADMINISTRACIÓN JUDICIAL DE CARTAGENA</t>
  </si>
  <si>
    <t>PAPER BOX SP SAS</t>
  </si>
  <si>
    <t>O.C. 48718</t>
  </si>
  <si>
    <t>SERVICIO DE SUMINISTRO DE PANOLAS O BAYETILLAS Y BOLSAS PLÁSTICAS DE BIOSEGURIDAD PARA LOS DIFERENTES DESPACHOS JUDICIALES Y OFICINAS ADMINISTRATIVAS A CARGO DE LA DIRECCIÓN SECCIONAL DE ADMINISTRACIÓN JUDICIAL DE CARTAGENA</t>
  </si>
  <si>
    <t>PANAMERICANA PAPELERIA Y LIBRERÍA</t>
  </si>
  <si>
    <t>BAYETILLA BLANCA 35X50 CMS</t>
  </si>
  <si>
    <t>BOLSA PLÁSTICA ROJA 50X60 CMS</t>
  </si>
  <si>
    <t>BOLSA</t>
  </si>
  <si>
    <t>BOLSA PLÁSTICA ROJA 50X50 CMS</t>
  </si>
  <si>
    <t>O.C. 49620</t>
  </si>
  <si>
    <t>SUMINISTRO CARETAS ANTIFLUIDOS PARA LOS EMPLEADOS DE LOS DIFERENTES DESPACHOS JUDICIALES Y OFICINAS ADMINISTRATIVAS A CARGO DE LA DIRECCIÓN SECCIONAL DE ADMINISTRACIÓN JUDICIAL DE CARTAGENA, ESTE PROCEDIMIENTO SERÁ REALIZADO MEDIANTE GRANDES SUPERFICIES DE LA PLATAFORMA DE TIENDA VIRTUAL DEL ESTADO COLOMBIANO DE COLOMBIA COMPRA EFICIENTE.</t>
  </si>
  <si>
    <t>COLOMBIANA DE COMERCIO S.A
Y/O ALKOSTO S.A</t>
  </si>
  <si>
    <t>CARETA ANTIFLUIDOS</t>
  </si>
  <si>
    <t>O.C. 49715</t>
  </si>
  <si>
    <t>SUMINISTRO DE DISPENSADORES DE GEL O
JABÓN PARA LOS DIFERENTES DESPACHOS JUDICIALES Y
OFICINAS ADMINISTRATIVAS A CARGO DE LA DIRECCIÓN
SECCIONAL DE ADMINISTRACIÓN JUDICIAL DE
CARTAGENA,</t>
  </si>
  <si>
    <t>CENCOSUD COLOMBIA S.A.</t>
  </si>
  <si>
    <t>DISPENSADOR DE GEL PLANO EN TUBERIA DE 1 PULGADA</t>
  </si>
  <si>
    <t>O.C. 49843</t>
  </si>
  <si>
    <t>SUMINISTRO DE TAPABOCAS DE TELA PARA
LOS DIFERENTES DESPACHOS JUDICIALES Y OFICINAS
ADMINISTRATIVAS A CARGO DE LA DIRECCIÓN SECCIONAL
DE ADMINISTRACIÓN JUDICIAL DE CARTAGENA,</t>
  </si>
  <si>
    <t>COMERCIALIZADORA ARTURO
CALLE</t>
  </si>
  <si>
    <t>O.C. 50863</t>
  </si>
  <si>
    <t xml:space="preserve">SUMINISTRO DE CARETAS ANTIFLUIDOS PARA LOS EMPLEADOS DE LOS DIFERENTES DESPACHOS JUDICIALES Y OFICINAS ADMINISTRATIVAS A CARGO DE LA DIRECCIÓN SECCIONAL DE ADMINISTRACIÓN JUDICIAL DE CARTAGENA, </t>
  </si>
  <si>
    <t>PLASTICOS FENIX SAS</t>
  </si>
  <si>
    <t>CARETA VISOR (PROTECTOR FACIAL)</t>
  </si>
  <si>
    <t>O.C. 51093</t>
  </si>
  <si>
    <t>SUMINISTRO DE GEL ANTIBACTERIAL, PARA LOS
EMPLEADOS DE LOS DIFERENTES DESPACHOS JUDICIALES
Y OFICINAS ADMINISTRATIVAS A CARGO DE LA DIRECCIÓN
SECCIONAL DE ADMINISTRACIÓN JUDICIAL DE
CARTAGENA,</t>
  </si>
  <si>
    <t>COSMETICOS SAMY S.A.</t>
  </si>
  <si>
    <t>O.C. 51157</t>
  </si>
  <si>
    <t>SUMINISTRO DE CANECAS DE BIOSEGURIDAD PARA LOS EDIFICIOS A CARGO DE LA DIRECCIÓN SECCIONAL DE ADMINISTRACIÓN JUDICIAL DE CARTAGENA,</t>
  </si>
  <si>
    <t>PAPELERA PEDAL REDONDA 12 LT</t>
  </si>
  <si>
    <t>CANECAS / PAPELERAS</t>
  </si>
  <si>
    <t>O.C. 51349</t>
  </si>
  <si>
    <t>CANECA TAPA VAIVEN</t>
  </si>
  <si>
    <t>CANECA TAPA PEDAL</t>
  </si>
  <si>
    <t>IBAGUÉ</t>
  </si>
  <si>
    <t>CUM26-001</t>
  </si>
  <si>
    <t>ADQUISICIÓN DE TRAJES DE BIOSEGURIDAD COMO MEDIDA DE PREVENCIÓN DE CONTAGIO Y PROPAGACIÓN DEL COVID-19 DE LOS SERVIDORES QUE LABORAN EN EL DISTRITO JUDICIAL DE IBAGUÉ, EN ATENCIÓN A LA DECLARATORIA DE URGENCIA MANIFIESTA REALIZADA POR EL CSJ</t>
  </si>
  <si>
    <t>INCINERADOS DEL HUILA – INCIHUILA S.A. E.S.P.</t>
  </si>
  <si>
    <t>TRAJE DE PROTECCION CORPORAL EN TELA JURIDICA</t>
  </si>
  <si>
    <t>CUM26-002</t>
  </si>
  <si>
    <t xml:space="preserve">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t>
  </si>
  <si>
    <t>GUANTES DE NITRILO DIFERENTES TALLAS CAJA X 100</t>
  </si>
  <si>
    <t>TERMOMETROS DIGITALES INFRARROJO UNIDAD</t>
  </si>
  <si>
    <t>LAVAMANOS UNIDAD</t>
  </si>
  <si>
    <t>003 DE 2020</t>
  </si>
  <si>
    <t xml:space="preserve">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t>
  </si>
  <si>
    <t>GUANTES</t>
  </si>
  <si>
    <t>GEL GALON</t>
  </si>
  <si>
    <t>BIDON</t>
  </si>
  <si>
    <t>GALON</t>
  </si>
  <si>
    <t>PAPELERA ROTULADA</t>
  </si>
  <si>
    <t>DISPENSADORES</t>
  </si>
  <si>
    <t>CON26-003 DE 2020</t>
  </si>
  <si>
    <t>CRUZ ROJA COLOMBIANA - SECCIONAL TOLIMA</t>
  </si>
  <si>
    <t>MANIZALES</t>
  </si>
  <si>
    <t>CE-06-2020</t>
  </si>
  <si>
    <t>TECHNICAL SOLUTIONS SAFETY S.A.S.</t>
  </si>
  <si>
    <t xml:space="preserve">TRAJE DE PROTECCIÓN CORPORAL MARCA KIMBERLY, PROTECCIÓN CONTRA SALPICADURAS Y PARTICULAS, SON LOS TRAJES DE USO LIMITADO, IDEALES PARA PROTEGER A LAS PERSONAS CON UN EXCELENTE NIVEL DE RESPIRABILIDAD, DE LA NO PENETRACIÓN DE SALPICADURAS DE LÍQUIDOS NO PELIGROSOS (QUIMÍCOS ) Y PARTÍCULAS AL CUERPO DEL USUARIO. TALLAS DISPONIBLES L Y XL </t>
  </si>
  <si>
    <t>CE-07-2020</t>
  </si>
  <si>
    <t>CALDAS MEDICAS S.A.S.</t>
  </si>
  <si>
    <t>GUANTES DESECHABLES LATEX CAJA X 100 UND. MARCA EXAMTEX. TALLA M</t>
  </si>
  <si>
    <t>GUANTES DESECHABLES LATEX CAJA X 100 UND. MARCA EXAMTEX. TALLA L</t>
  </si>
  <si>
    <t>CE-08-2020</t>
  </si>
  <si>
    <t>CHEMMAX 1 CONFECCIONADO EN BASE A UN SUSTRATO DE POLIPROPILENO LAMINADO CON UNA RESINA DE POLIETILENO DE ALTA DENSIDAD, ESTE POLÍMERO LAMINADO OFRECE EFECTIVA BARRERA CONTRA UNA GRAN GAMA DE SUSTANCIAS QUÍMICAS. CUMPLE CON LOS REQUERIMIENTOS ANT</t>
  </si>
  <si>
    <t>CE-10-2020</t>
  </si>
  <si>
    <t>CAROLINA CEBALLOS ECHEVERRY - DULCE AROMA</t>
  </si>
  <si>
    <t>CE-11-2020</t>
  </si>
  <si>
    <t>COLOR SIETE S.A.S</t>
  </si>
  <si>
    <t>TAPABOCAS LAVABLE Y REUTILIZABLE EN TELA ANTIFLUIDO CON CUBIERTA REPELENTE.</t>
  </si>
  <si>
    <t>CE-12-2020</t>
  </si>
  <si>
    <t>MARÍA RUTH DÍAZ DUQUE  - ALSERVICIO RT</t>
  </si>
  <si>
    <t>DESINFECCIÓN SEDE JUDICIAL DE VILLAMARIA (231 M2)</t>
  </si>
  <si>
    <t>SERVICIO DE DESINFECCION</t>
  </si>
  <si>
    <t>DESINFECCIÓN SEDE JUDICIAL DE CHINCHINA: 2 PISOS (1200 M2)</t>
  </si>
  <si>
    <t>DESINFECCIÓN SEDE JUDICIAL DE ANSERMA: 3 PISOS (580 M2)</t>
  </si>
  <si>
    <t>DESINFECCIÓN SEDE JUDICIAL DE RIOSUCIO: 2 PISOS (1956 M2)</t>
  </si>
  <si>
    <t>DESINFECCIÓN SEDE JUDICIAL DE SALAMINA: 2 PISOS (1450 M2)</t>
  </si>
  <si>
    <t>DESINFECCIÓN SEDE JUDICIAL DE AGUADAS: 2 PISOS (481 M2)</t>
  </si>
  <si>
    <t>DESINFECCIÓN SEDE JUDICIAL DE MANZANARES: 2 PISOS (403 M2)</t>
  </si>
  <si>
    <t>DESINFECCIÓN SEDE JUDICIAL DE PENSILVANIA: 1 PISO (356 M2)</t>
  </si>
  <si>
    <t>DESINFECCIÓN SEDE JUDICIAL DE LA DORADA: 3 PISOS (3100 M2)</t>
  </si>
  <si>
    <t>DESINFECCIÓN SEDE JUDICIAL DE PUERTO BOYACÁ: 3 PISOS (1641 M2)</t>
  </si>
  <si>
    <t>DESINFECCIÓN SEDE JUDICIAL DE VITERBO (279 M2)</t>
  </si>
  <si>
    <t>DESINFECCIÓN SEDE JUDICIAL PALACIO DE JUSTICIA</t>
  </si>
  <si>
    <t>DESINFECCIÓN EDIFICIO DIRECCION SECCIONAL Y JUZGADOS PENALES</t>
  </si>
  <si>
    <t>DESINFECCIÓN SEDE JUDICIAL VILLAMARIA</t>
  </si>
  <si>
    <t>DESINFECCIÓN SEDE JUDICIAL CHINCHINA</t>
  </si>
  <si>
    <t>DESINFECCIÓN SEDE JUDICIAL LA DORADA</t>
  </si>
  <si>
    <t>Orden de Compra 48963</t>
  </si>
  <si>
    <t xml:space="preserve">FELIPE MONDRAGON DUQUE </t>
  </si>
  <si>
    <t>GUANTES DE NITRILO 30 CAJAS X 100</t>
  </si>
  <si>
    <t xml:space="preserve">GUANTES DE NITRILO </t>
  </si>
  <si>
    <t>CE-016-2020</t>
  </si>
  <si>
    <t>PROYECTOS INSTITUCIONALES DE COLOMBIA S.A.S</t>
  </si>
  <si>
    <t>LAVAMANOS PORTÁTILES EN ACERO INOXIDABLE: 13 UNIDADES</t>
  </si>
  <si>
    <t>Orden de Compra 49475</t>
  </si>
  <si>
    <t>BOTELLAS DE ALCOHOL X 750 CC</t>
  </si>
  <si>
    <t>Orden de Compra 49476</t>
  </si>
  <si>
    <t>GEL ANTIBACTERIAL POR LITRO: 500 UNIDADES</t>
  </si>
  <si>
    <t>Orden de Compra 49600</t>
  </si>
  <si>
    <t>TOALLAS DESECHABLES PARA MANOS ROLLOS DE 100 METROS: 1000 ROLLOS.</t>
  </si>
  <si>
    <t>CE-034-2019</t>
  </si>
  <si>
    <t>BIOSERVICIOS S.A.S.</t>
  </si>
  <si>
    <t>PRESTACIÓN DEL SERVICIO DE ASEO Y LIMPIEZA AL DISTRITO JUDICIAL</t>
  </si>
  <si>
    <t>Orden de Compra 49987</t>
  </si>
  <si>
    <t>GRUPO EMPRESARIAL DE ASESORIA</t>
  </si>
  <si>
    <t>PAPEL VINIPEL 250 ROLLOS</t>
  </si>
  <si>
    <t>Orden de Compra 49988</t>
  </si>
  <si>
    <t>AESTHETIC MEDICAL SOLUTIONS</t>
  </si>
  <si>
    <t>JABÓN DISPENSADOR PARA MANOS LÍQUIDO. 200 GALONES X 3.785 CC</t>
  </si>
  <si>
    <t>Orden de Compra 49993</t>
  </si>
  <si>
    <t>OFIBEST S.A.S.</t>
  </si>
  <si>
    <t>JABÓN DISPENSADOR PARA MANOS LÍQUIDO. 300 UNIDADES X 500 CC</t>
  </si>
  <si>
    <t>Orden de Compra 49994</t>
  </si>
  <si>
    <t>PAPER BOX SP S.A.S.</t>
  </si>
  <si>
    <t>TOALLAS PARA MANOS INTERDOBLADAS- 500 PAQUETES</t>
  </si>
  <si>
    <t>Orden de Compra 49995</t>
  </si>
  <si>
    <t>ABBLAPLX S.A.S.</t>
  </si>
  <si>
    <t>CARETAS PROTECTORAS VISUALES. 600 UNIDADES.</t>
  </si>
  <si>
    <t>CE-18-2020</t>
  </si>
  <si>
    <t>CRUZ ROJA COLOMBIANA SECCIONAL CALDA</t>
  </si>
  <si>
    <t>PRESTACIÓN DE SERVICIOS DE PERSONAL DE APOYO A LA GESTIÓN CON VIGÍAS DE SALUD</t>
  </si>
  <si>
    <t>Orden de Compra 50861</t>
  </si>
  <si>
    <t>NUEVA ERA SOLUCIONES S.A.S.</t>
  </si>
  <si>
    <t>ARRENDAMIENTO DE 33 COMPUTADORES PORTÁTILES CON CÁMARA INCORPORADA Y PARLANTES PARA FACILITAR LA REALIZACIÓN DE AUDIENCIAS VIRTUALES CON CONEXIÓN REMOTA.</t>
  </si>
  <si>
    <t>Orden de Compra 51280</t>
  </si>
  <si>
    <t>COMERCIALIZADORA ORIKUA SAS</t>
  </si>
  <si>
    <t>ADQUISICIÓN DE SENSORES DE TEMPERATURA PARA ALGUNAS SEDES JUDICIALES DEL DISTRITO, COMO MEDIDAS DE PREVENCIÓN DEL COVID 19.</t>
  </si>
  <si>
    <t>CE-20-2020</t>
  </si>
  <si>
    <t>YESID FERNANDO SUAREZ AVILA/ALLINGENIERIA</t>
  </si>
  <si>
    <t>CE-22-2020</t>
  </si>
  <si>
    <t xml:space="preserve">AR GLOBAL SERVICE </t>
  </si>
  <si>
    <t>Orden de Compra 52569</t>
  </si>
  <si>
    <t>PAULO CESAR CARVAJAL &amp; PRODUCTOS
INSTITUCIONALES</t>
  </si>
  <si>
    <t xml:space="preserve">SUMINISTRO DE DISPENSADORES DE TOALLAS DE PAPEL </t>
  </si>
  <si>
    <t>Orden de Compra 53183</t>
  </si>
  <si>
    <t>CANECAS PARA DEPOSITAR RESIDUOS PELIGROSOS, COMO MEDIDAS DE PREVENCIÓN CONTRA EL COVID 19</t>
  </si>
  <si>
    <t>MEDELLÍN</t>
  </si>
  <si>
    <t>2020-006</t>
  </si>
  <si>
    <t>SUMINISTRO DE GEL ANTIBACTERIAL Y SOPORTE DE PARED
PARA PREVENIR EL CONTAGIO POR COVID-19 DE LOS
SERVIDORES DE LAS DIFERENTES SEDES Y DESPACHOS
JUDICIALES DE LA DIRECCIÓN EJECUTIVA SECCIONAL DE
ADMINISTRACIÓN JUDICIAL DE MEDELLÍN Y CHOCÓ</t>
  </si>
  <si>
    <t>SERVISEPTICOS S.A.S.</t>
  </si>
  <si>
    <t>GEL ANTIBACTERIAL CON TAPA DIOSPENSADORA X LITRO</t>
  </si>
  <si>
    <t>2020-008</t>
  </si>
  <si>
    <t>SUMINISTRO DE TOALLA DESECHABLE PARA MANOS PARA PREVENIR EL CONTAGIO POR COVID-19 DE LOS SERVIDORES DE LAS DIFERENTES SEDES Y DESPACHOS JUDICIALES DE LA DIRECCIÓN EJECUTIVA SECCIONAL DE ADMINISTRACIÓN JUDICIAL DE MEDELLÍN Y CHOCÓ</t>
  </si>
  <si>
    <t>PAPELERÍA EL PUNTO S.A.S.</t>
  </si>
  <si>
    <t>TOALLA DE MANOS NATURAL 100MTS X20 CMS PACA X 6 ROLLOS</t>
  </si>
  <si>
    <t>2020-005</t>
  </si>
  <si>
    <t>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t>
  </si>
  <si>
    <t>COMPEL S.A</t>
  </si>
  <si>
    <t xml:space="preserve">TERMÓMETRO INFRAROJO UT30R
</t>
  </si>
  <si>
    <t xml:space="preserve">
PILA ALKALINA AAA GP</t>
  </si>
  <si>
    <t>2020-011</t>
  </si>
  <si>
    <t>SUMINISTRO DE CARETAS EN POLIPROPILENO O MÁSCARA DE PROTECCIÓN FACIAL, COMO ELEMENTO DE PROTECCIÓN PERSONAL EN EL MARCO DE LA PREVENCIÓN DEL CONTAGIO POR COVID-19, PARA LOS SERVIDORES DE LAS DIFERENTES SEDES Y DESPACHOS JUDICIALES DE LA DIRECCIÓN EJECUTIVA SECCIONAL DE ADMINISTRACIÓN JUDICIAL DE ANTIOQUIA Y CHOCÓ</t>
  </si>
  <si>
    <t>LÍNEAS MÉDICAS ESPECIALIZADAS DE COLOMBIA S.A.S.</t>
  </si>
  <si>
    <t>MÁSCARA (CARETA) DE PROTECCIÓN FACIAL EN POLIETILENO, ANTIEMPAÑANTE, ANTIFLUIDOS; MEDIDAS 25X29 CMS Y GROSOR DE 0.25 MM</t>
  </si>
  <si>
    <t>2020-012</t>
  </si>
  <si>
    <t>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t>
  </si>
  <si>
    <t>COLOR LIQUIDO IMPRESION DIGITAL S.A.S</t>
  </si>
  <si>
    <t xml:space="preserve">ADHESIVO LAVADO DE MANOS.
</t>
  </si>
  <si>
    <t xml:space="preserve">
ADHESIVO RESTRICCION INGRESO.
</t>
  </si>
  <si>
    <t xml:space="preserve">
ADHESIVO USO TAPABOCAS.
</t>
  </si>
  <si>
    <t xml:space="preserve">ADHESIVO DISTANCIA SOCIAL.
</t>
  </si>
  <si>
    <t xml:space="preserve">ADHESIVO HIGIENE RESPIRATORIA.
</t>
  </si>
  <si>
    <t xml:space="preserve">ADHESIVO LIMPIEZA-DESINFECC.
</t>
  </si>
  <si>
    <t xml:space="preserve">ADHESIVO REPORTE CONDIC.SALUD.
</t>
  </si>
  <si>
    <t xml:space="preserve">ADHESIVO USO MEDIOS BICICLETA.
</t>
  </si>
  <si>
    <t xml:space="preserve">ADHESIVO FOMENTO HABITOS SALUD.
</t>
  </si>
  <si>
    <t xml:space="preserve">ADHESIVOS PISO RECTÁNGULOS. 
</t>
  </si>
  <si>
    <t xml:space="preserve">ADHESIVOS PISO ASCENSORES.
</t>
  </si>
  <si>
    <t xml:space="preserve">INSTALACION GIRARDOTA-COPACAB Y OTROS
</t>
  </si>
  <si>
    <t>INSTALACION ELEMENTOS</t>
  </si>
  <si>
    <t xml:space="preserve">INSTALACIÓN CALDAS-MEDELLÍN Y OTROS
</t>
  </si>
  <si>
    <t>INSTALACIÓN RIONEGRO.</t>
  </si>
  <si>
    <t>2020-001</t>
  </si>
  <si>
    <t>SUMINISTRO DE ELEMENTOS DE PROTECCIÓN PERSONAL PARA PREVENIR EL CONTAGIO POR COVID-19 DE LOS SERVIDORES DE LAS DIFERENTES SEDES Y DESPACHOS JUDICIALES DE LA DIRECCIÓN EJECUTIVA SECCIONAL DE ADMINISTRACIÓN JUDICIAL DE MEDELLÍN Y CHOCÓ</t>
  </si>
  <si>
    <t>PRODEFARMA S.A.S.</t>
  </si>
  <si>
    <t>TAPABOCAS DESECH. TELA QUIRURGICO</t>
  </si>
  <si>
    <t>GUANTE DESECHABLE CAJA X100.</t>
  </si>
  <si>
    <t>CAJA X 100</t>
  </si>
  <si>
    <t>2020-003</t>
  </si>
  <si>
    <t xml:space="preserve">TAPABOCAS DESECHABLE.
</t>
  </si>
  <si>
    <t xml:space="preserve">GUANTE DESECHABLE LATEX CAJA X100 </t>
  </si>
  <si>
    <t>TERMÓMETRO INFRAROJO UT30R</t>
  </si>
  <si>
    <t>GEL ANTIBACTER. TAPA DISP. X LITRO.</t>
  </si>
  <si>
    <t>SOPORTE METÁLICO DE PARED.</t>
  </si>
  <si>
    <t>TAPABOCAS EN TELA QUIRÚRGICA</t>
  </si>
  <si>
    <t>2020-015</t>
  </si>
  <si>
    <t>SUMINISTRO DE PAPELERAS DE PEDAL Y BOLSAS PLÁSTICAS, PARA LA RECOLECCIÓN DE LOS ELEMENTOS DE PROTECCIÓN PERSONAL UTILIZADOS POR LOS SERVIDORES DE LAS DIFERENTES SEDES Y DESPACHOS JUDICIALES DE MEDELLÍN Y CHOCÓ EN EL MARCO DE LA PREVENCIÓN DEL CONTAGIO POR COVID-19.</t>
  </si>
  <si>
    <t>VENTAS Y MÁS S.A.S</t>
  </si>
  <si>
    <t>PAPELERA DE PEDAL</t>
  </si>
  <si>
    <t>BOLSAS X 100 50*60</t>
  </si>
  <si>
    <t>MONTERÍA</t>
  </si>
  <si>
    <t>COM003</t>
  </si>
  <si>
    <t>ADQUISICIÓN DE ELEMENTOS PARA LA PREVENCIÓN DEL CONTAGIO DEL COVID 19”</t>
  </si>
  <si>
    <t>2020/03/20</t>
  </si>
  <si>
    <t>SUMINISTROS INTEGRALES G&amp;E SAS</t>
  </si>
  <si>
    <t>GUANTE NITRILO X 100 TALLA L MARCA PROTEX</t>
  </si>
  <si>
    <t>ATOMIZADOR ECONOMICO DE 500 CC</t>
  </si>
  <si>
    <t>FRASCO CON TAPA DOSIFICADORA</t>
  </si>
  <si>
    <t>PISTOLA ATOMIZADORA</t>
  </si>
  <si>
    <t>GUANTE NITRILO X 100 TALLA M MARCA PROTEX</t>
  </si>
  <si>
    <t>GLOSANIT 30 CUÑETE X 20 LTS</t>
  </si>
  <si>
    <t>JUMBO BLANCO HOJA SENCILLA X 220 MT FSC</t>
  </si>
  <si>
    <t>ROLLO</t>
  </si>
  <si>
    <t>TOALLAS MANO DOBLADA EN Z NATURAL TRIPLE HOJA 150 TOALLAS</t>
  </si>
  <si>
    <t>TOALLA DE MANO PREC X 100 MTS CERTIFICADA FSC M FAMILIA</t>
  </si>
  <si>
    <t>FAMITEX PAÑOS SEMIDESECHABLES BLANCO CX4 PAQ PAQ  X 50 PAÑOS</t>
  </si>
  <si>
    <t>PAÑOS</t>
  </si>
  <si>
    <t xml:space="preserve">JABON LIQUIDO X 1000 ML </t>
  </si>
  <si>
    <t>OVEROL NO ESTERIL</t>
  </si>
  <si>
    <t>COM004</t>
  </si>
  <si>
    <t>ADQUISICIÓN DE ELEMENTOS PARA LA PREVENCIÓN DEL CONTAGIO DEL COVID 19</t>
  </si>
  <si>
    <t>2020/03/25</t>
  </si>
  <si>
    <t>ECCOCLEAN SAS</t>
  </si>
  <si>
    <t>LIQUIDO ANTIBACTERIAL GLICERADO</t>
  </si>
  <si>
    <t>COM005</t>
  </si>
  <si>
    <t>IVAN DARIO CARMONA LOPEZ</t>
  </si>
  <si>
    <t>CAJAS DE GUANTES NITRILO T.L X 1000 UND</t>
  </si>
  <si>
    <t>BOLSAS SOLAPA 13X19 POR 100 UND</t>
  </si>
  <si>
    <t>BOLSAS CIERRE 18X22 POR 100 UND</t>
  </si>
  <si>
    <t>COM006</t>
  </si>
  <si>
    <t>EMPRESA INDUSTRIA DE CONFECCIONES MONKYDU S.A.S.</t>
  </si>
  <si>
    <t>MASCARILLA EN TELA POLITEX</t>
  </si>
  <si>
    <t>COM007</t>
  </si>
  <si>
    <t>2020/04/17</t>
  </si>
  <si>
    <t>LIQUIDO ANTIBACTERIAL ALCOHOL GLICERADO X 1000 ML</t>
  </si>
  <si>
    <t>COM008</t>
  </si>
  <si>
    <t>INDUSTRIAS DE CONFECCIONES MONKYDU SAS</t>
  </si>
  <si>
    <t>TRAJES DE PROTECCION FABRICADO EN POLIETILENO (CHAQUETA, PANTALON CON RESORTE EN LA CINTURA, BOTAS ANATOMICAS CON CAUCHO DE AJUSTE)</t>
  </si>
  <si>
    <t>SER010</t>
  </si>
  <si>
    <t>DESINFECCIÓN AMBIENTAL DE SEDES JUDICIALES DEL DISTRITO JUDICIAL DE MONTERÍA ENCAMINADA A LA DESTRUCCIÓN DE LOS MICROORGANISMOS PATÓGENOS COMO BACTERIAS, VIRUS Y HONGOS MEDIANTE LA UTILIZACIÓN DE PRODUCTOS QUÍMICOS APLICADOS POR MÉTODO DE ASPERSION Y NEBULIZACIÓN</t>
  </si>
  <si>
    <t>2020/04/01</t>
  </si>
  <si>
    <t>EMPRESA GRUPO FRANKA FSI SAS</t>
  </si>
  <si>
    <t>DESINFECCION AMBIENTALPOR ASPERSION Y NEBULIZACION DE JUZGADOS Y OFICINAS</t>
  </si>
  <si>
    <t>COM013</t>
  </si>
  <si>
    <t>SUMINISTRO DE DISPENSADORES PORTATILES DE GEL CON PEDAL E INSUMOS PARA FORTALECER LA MEDIDAS DE PREVENCIÓN DEL CONTAGIO Y DE LA PROPAGACION DEL COVID -19</t>
  </si>
  <si>
    <t>PORRAS CONSTRUCTORES &amp; ASOCIADOS SAS</t>
  </si>
  <si>
    <t>DISPENSADORES DE PEDAL PARA GEL ANTIBACTERIAL EN ACERO INOXIDABLE</t>
  </si>
  <si>
    <t>GEL ANTIBACTERIAL X 1L</t>
  </si>
  <si>
    <t>COM014</t>
  </si>
  <si>
    <t>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
DEL COVID -19 DEL CONTAGIO Y DE LA PROPAGACION DEL COVID 19</t>
  </si>
  <si>
    <t>TPI INGENIERIA Y SUMINISTROS SAS</t>
  </si>
  <si>
    <t>BARRERA ANTIFLUIDO EN ACRILICO 120X100 CM CHASIS O SOPORTE METALICO SP CRISTAL 4MM</t>
  </si>
  <si>
    <t>LAVAMANOS INDUSTRIAL PORTATIL PEDAL AGUA Y JABON</t>
  </si>
  <si>
    <t>GAFAS DE SEGURIDAD X UNIDAD</t>
  </si>
  <si>
    <t>TERMOMETROS INFRAROJOS</t>
  </si>
  <si>
    <t>COM015</t>
  </si>
  <si>
    <t>COMPRA DE PRODUCTOS DE ASEO Y ELEMENTOS DE PROTECCIÓN PERSONAL TALES COMO TAPABOCAS,
ALCOHOL GLICERADO, GEL ANTIBACTERIAL PARA FORTALECER LA MEDIDAS DE PREVENCIÓN DEL CONTAGIO Y DE LA PROPAGACION DEL COVID -19</t>
  </si>
  <si>
    <t>FUNDACIÓN SANTIAGO EL MAYOR</t>
  </si>
  <si>
    <t>TAPABOCAS ANTIFLUIDO ELASTICO FABRICACION NACIONAL</t>
  </si>
  <si>
    <t>ALCOHOL GLICERINADO CON REGISTRO INVIMA X LT</t>
  </si>
  <si>
    <t>GEL ANTIBACTERIAL CON REGISTRO INVIMA X LT}</t>
  </si>
  <si>
    <t>SER014</t>
  </si>
  <si>
    <t xml:space="preserve">FASE FINAL DEL PROYECTO ADECUACIONES EN EDIFICIO PALACIO DE JUSTICIA EN PRO DE LA MITIGACION DE LA PROPAGACION DEL COVID 19 </t>
  </si>
  <si>
    <t>ARMANDO RAFAEL BULA OTERO</t>
  </si>
  <si>
    <t>GLOBAL</t>
  </si>
  <si>
    <t>SER-020</t>
  </si>
  <si>
    <t>PRESTACION DEL SERVICIO DE PERSONAL DE APOYO A LA GESTION (VIGIAS DE LA SALUD) PARA VELAR POR EL CUMPLIMIENTO DE LOS PROTOCOLOS DE BIOSEGURIDAD ESTABLECIDOS POR LA RAMA JUDICIAL Y FORTALECER LAS MEDIDAS DE PREVENCION DEL CONTAGIO Y PROPAGACION DEL COVID 19</t>
  </si>
  <si>
    <t>EMPRESA EFECTIVA EST SS</t>
  </si>
  <si>
    <t>011-2020</t>
  </si>
  <si>
    <t>COMPRA DE GUANTES DE NITRILO Y BOLSAS CON CIERRE HERMÉTICO PARA FORTALECER LA MEDIDAS DE PREVENCIÓN
DEL CONTAGIO Y DE LA PROPAGACION DEL COVID -19</t>
  </si>
  <si>
    <t>BOLSAS Y DESECHABLES CARMONA
NIT.</t>
  </si>
  <si>
    <t>GUANTES DE NITRILO TALLA M-L CAJA X 100 UND</t>
  </si>
  <si>
    <t>BOLSA CIERRE HERMETICO 30X40 X 100 UND</t>
  </si>
  <si>
    <t>BOLSA CIERRE HERMETICO 30X48 X 100 UND</t>
  </si>
  <si>
    <t>012-2020</t>
  </si>
  <si>
    <t>ADQUISICIÓN, DISTRIBUCION E INSTALACIÓN DE DIADEMAS Y CAMARAS WEB PARA LOS DESPACHOS JUDICIALES Y TRIBUNALES DEL DISTRITO JUDICIAL DE MONTERÍA</t>
  </si>
  <si>
    <t>COMPU DF SAS</t>
  </si>
  <si>
    <t>DIADEMAS USB</t>
  </si>
  <si>
    <t>WEB CAM USB</t>
  </si>
  <si>
    <t>NEIVA</t>
  </si>
  <si>
    <t>12COM001-2020</t>
  </si>
  <si>
    <t>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t>
  </si>
  <si>
    <t>INCINERADOS DEL HUILA - INCIHUILA S.A E.S.P</t>
  </si>
  <si>
    <t>TRAJE DE PROTECCION CORPORAL (TAIBER BLANCO)</t>
  </si>
  <si>
    <t>GUANTE (NITRILO) TALLA M (desechables, hipoalergénicos, no estériles, alta resistencia a la elongación, libre de talco, ambidiestros, puño con reborde)</t>
  </si>
  <si>
    <t>GUANTE (NITRILO) TALLA L (desechables, hipoalergénicos, no estériles, alta resistencia a la elongación, libre de talco, ambidiestros, puño con reborde)</t>
  </si>
  <si>
    <t>TOALLAS DESECHAFLES (toallas en Z color natural) PQTE</t>
  </si>
  <si>
    <t>12COM002-2020</t>
  </si>
  <si>
    <t>ANA JOSEFA PANQUEBA NUÑEZ</t>
  </si>
  <si>
    <t>LAVAMANOS PORTATILES  (totalmente autonomo, con tanques de almacenamiento de residuos y mobiliarios en acero inoxidable  en calibre 20 lamina 30, no requiere ningun tipo de conexión ni alcantarillado, inlcuye bomba de piso de manos libres de fabricacion inglesa, tanques de almacenamiento de agua residual y potable, cada uno de 20 litros)ALTO 90 CMS X ANCHO43CMS X FONDO43CMS</t>
  </si>
  <si>
    <t>12COM003-2020</t>
  </si>
  <si>
    <t>DMC ASESORIAS Y SUMINISTROS SAS</t>
  </si>
  <si>
    <t>TAPABOCAS EN TELA ANTIFLUIDOS LAFAYETTE ALTA CALIDAD CON CAUCHO 7MM, COLOR BLANCO, EMPAQUE INDIVIDUAL BOLSA TRANSPARENTE EN PAQUETES DE 50 UNIDADES.</t>
  </si>
  <si>
    <t>12COM004-2020</t>
  </si>
  <si>
    <t>CONEXIÓN JURIDICA-MONTES Y ASOCIADOS SAS</t>
  </si>
  <si>
    <t xml:space="preserve">JABON LIQUIDO PARA MANOS </t>
  </si>
  <si>
    <t>12COM005-2020</t>
  </si>
  <si>
    <t>C I WARRIORS COMPANY SAS</t>
  </si>
  <si>
    <t>DESINFECTANTE QUIRURGICO (Sales de amonio cuaternario (solucion al 80% agua- alcohol): alquil dimetil bencil cloruro de amonio, octil, decil cloruro de amonio, dodecil, dimetil cloruro de amonio y dioctil dimetil cloruro de amonio.</t>
  </si>
  <si>
    <t>AMONIO</t>
  </si>
  <si>
    <t>12COM006-2020</t>
  </si>
  <si>
    <t>ADQUISICIÓN DE ELEMENTOS DE PROTECCIÓN PERSONAL, ELEMENTOS DE ASEO Y EQUIPOS BIOMÉDICOS ANTE LA EMERGENCIA SANITARIA (CORONAVIRUS – COVID-19), PARA LOS SERVIDORES – FUNCIONARIOS DE LOS DISTRITOS JUDICIALES DE NEIVA Y FLORENCIA, POR URGENCIA MANIFIESTA.</t>
  </si>
  <si>
    <t>GUANTES DE NITRILO M/L (desechables, hipoalergénicos, no estériles, alta resistencia a la elongación, libre de talco, ambidiestros, puño con reborde)</t>
  </si>
  <si>
    <t>TOALLAS INTERDOBLADAS  (doble hoja con un tamaño mínimo de 20 cm de largo por 15 cm de ancho (PAQUETE)</t>
  </si>
  <si>
    <t>GAFAS DE PROTECCION UNIDAD (Unilente de proteccion transparente)</t>
  </si>
  <si>
    <t>TERMOMETRO INFRAROJO DIGITAL DE DOBLE SENSOR DE ALTA SENSIBILIDAD</t>
  </si>
  <si>
    <t>TERMOMETRO DIGITAL PARED - INTELIGENTE ( sin contacto uso institucional, mide la temperatura sin necesidad de sostenerlo, colgado en cualquier superficie usando cinta o un soporte. Sin necesidad de contacto con superficies, evita infecciones cruzadas, incluye bataria de litio y cable conector de USB de alimentacion  contiene   Método de medición: sin contacto con la frente del termómetro infrarrojo ℃ y ℉. Alarma automática para temperatura anormal: destellos de luz roja, sonido de alarma continua, Distancia: 5 ~ 10 cm, En espera: 5s, Pantalla digital, Temperatura de medición: 0 ~ 80 grados ℃, Temperatura ambiente: 5 ~ 45 grados ℃,  Tiempo de respuesta: 500 ms . )</t>
  </si>
  <si>
    <t>12COM007-2020</t>
  </si>
  <si>
    <t>INTEGRAL SERVICES &amp; SOLUTIONS S. A. S. INSSOL S. A. S</t>
  </si>
  <si>
    <t>GEL ANTIBACTERIAL FC X1LT (alcohol isopropilico 70% en gel para antisepsia de manos, alcohol isopropilico en gel para antisepsia de manos, 70ml+2g/100ml)</t>
  </si>
  <si>
    <t>DISPENSADOR DE TOALLAS DESECHAFLES INTERDOBLADAS  (Descripción general: Dispensador para colocar papel toalla interdoblada, Base negra y Tapa Níquel con un ranura para observar consumo de papel. Recomendado para lugares de alta rotación y W.C. públicos.  Componentes y Materiales:  - Fabricado en ABS todos los componentes - Fabricado en ABS la tapa con recubrimiento con Níquel-Barniz, - Cerradura de seguridad línea futura  Cacaidad : para minimo 150 toallas)</t>
  </si>
  <si>
    <t>DISPENSADOR DE JABON DE 500 ML ; es ideal para dosificar productos como jabon liquido caracteristicas de producto; Fabricado en polipropileno de alto impacto, resistente a los golpes, facil de instalar con valvula antogoteo</t>
  </si>
  <si>
    <t>12COM008-2020</t>
  </si>
  <si>
    <t>SERVINDUSTRIALES DEL HUILA S.A.S.</t>
  </si>
  <si>
    <t>LAVAMANOS PORTATIL TOTALMENTE AUTONOMO ( con tanques de almacenamiento de residuos y mobiliario en acero inoxidable Scott 304 calibre 24 con estructura en tubo de 1”. Pozuelo redondo en acero Inoxidable, Grifería en acero inoxidable. No requieren ningún tipo de conexión ni alcantarillado. Adicionalmente incluye: Dispensador de jabón, Dispensador de toallas elaborados en ABC.  El lavamanos incluye: Bomba de Piso manos libres, tanques de almacenamiento de agua residual y potable cada uno de 30 litros.,
Medidas: 90 cm de Alto x 43,5 cm Ancho x 41.1 fondo</t>
  </si>
  <si>
    <t>SOPORTE DISPENSADOR GEL ANTIBACTERIAL  (Soporte metalico accionado con pedal, especial para contener frasco de 500ml, con un uso push aplica la cantidad adeucda de producto. Dispensado de antimaterial portátil en tubo estructura HR de 1” Medidas: 1.20 cm Alto Soporte en piso tipo H Pedal en lamina alfajor Mecanismo con soporte de alta presión Pintura esmaltada Color Plata)</t>
  </si>
  <si>
    <t>12COM009-2020</t>
  </si>
  <si>
    <t>ADQUISICIÓN DE ELEMENTOS DE PROTECCIÓN PERSONAL, ELEMENTOS DE ASEO, Y EQUIPOS BIOMÉDICOS ANTE LA EMERGENCIA SANITARIA (CORONAVIRUS- COVID-19), PARA LOS SERVIDORES – FUNCIONARIOS DE LOS DISTRITOS JUDICIALES DE NEIVA Y FLORENCIA, POR URGENCIA MANIFIESTA</t>
  </si>
  <si>
    <t>INFANTILES YASTING S.A.S</t>
  </si>
  <si>
    <t xml:space="preserve">TAPABOCAS 2 TELAS: Primera capa: tela anti fluidos Lafayette CLORORESISTENTE ANTIMICROBIAL Composición: tela 100% filamento de poliéster.Color disponible: blanco y azul oscuro.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Segunda capa: tejido punto HYDROTECH ANTIBACTERIAL, con elástico de 4mm. Composición: tela 100% filamento de poliéster.  Base perteneciente al programa de etiquetas  Protección Solar.  Excelente stretch (elongación) mecánico.  Tecnología desarrollada desde la Construcción del hilo y tejeduría, absorbe por el lado de contacto con la piel, transporta y evapora rápidamente la humedad del cuerpo por el lado exterior manteniendo seco y cómodo.  Tecnología: + Transpirabilidad  Tejido tipo malla con pequeños orificios que permiten la respirabilidad de la prenda </t>
  </si>
  <si>
    <t>BATA TIPO CIRUJANO TALLA S: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</si>
  <si>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BATA TIPO CIRUJANO TALLA M: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</si>
  <si>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BATA TIPO CIRUJANO TALLA 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</si>
  <si>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BATA TIPO CIRUJANO TALLA XL;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</si>
  <si>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12COM010-2020</t>
  </si>
  <si>
    <t>TAPABOCAS QUIRURGICO -DESECHABLE, CON RESORTE A LA OREJA , TRES CAPAS, ADAPTADOR NASAL AJUSTABLE, EN ALGODÓN;      Debe tener una adecuada presentación para su uso. Sus superficies deben tener un aspecto limpio, ser uniformes, tanto en color como en su textura, libres de astillas, rupturas, fisuras u otras imperfecciones libre de asperezas, elementos abrasivos o pegajosos. Los cauchos deben tener suficiente resistencia a la fricción para garantizar su durabilidad.     Los materiales y diseño del tapabocas deben garantizar la completa protección para impedir el paso de partículas perjudiciales para la salud de los humanos. Los materiales con que está elaborada no pueden ser tóxicos a los seres humanos Garantizar altos niveles de protección, durabilidad y comodidad.   Mascarilla quirúrgica, no tejida material fieltro, blanda desechable, con bandas elásticas para ajuste en orejas, clip metálico que permite ajustarse a la nariz.    Medidas aproximadas: 175 mm × 95 mm x ± 2 mm  Otras: Las partes del tapabocas deben estar unidas y aseguradas firmemente. De su uso adecuado no pueden presentarse desprendimientos, desajustes u otro tipo de defectos por ensamble inadecuado. presentacion  caja  x 50 unidades</t>
  </si>
  <si>
    <t xml:space="preserve">DETERGENTE DESINFECTANTE DESODORANTE FRASCO PARA LA LIMPIEZA Y LA DESINFECCION DE TODA SUPERFICIE LAVABLE  - FRASCO  X 1LT CON DOSIFICADOR  INTEGRADO : Fabricado a base de amonio cuaternario de última generación, más alcohol, bactericida, fungicida y virusida mas perfume, acción en 15 minutos, no requiere enjuague.   desinfectante formulado con amonios cuaternarios de quinta generación “SUPERQUAT”, en un rango de concentración de 8.5% - 9.5%;  pH (100%) 9-11 Unidades, Densidad 0.92-1.02 g/mL, Índice de Refracción 1.350-1.370.  Totalmente apto para uso en industria de alimentos con propiedades como tensoactivo catiónico. su diseño único y novedoso ha sido científicamente desarrollado para la limpieza y la desinfección de superficies (pisos, paredes y techos). </t>
  </si>
  <si>
    <t>12COM011-2020</t>
  </si>
  <si>
    <t>GEL ANTIBACTERIAL  - FC X1LT : alcohol isopropilico 70% en gel para antisepsia de manos, alcohol isopropilico en gel para antisepsia de manos, 70ml+2g/100ml</t>
  </si>
  <si>
    <t>JABÓN DISPENSADOR PARA MANOS 1 - LÍQUIDO, EN RECIPIENTE PLÁSTICO CON DISPENSADOR. con agente limpiador en una concentración mínima del 6%,  con agente humectante en una concentración mínima del 3%, - ph entre 5,5 a 7</t>
  </si>
  <si>
    <t>12COM013-2020</t>
  </si>
  <si>
    <t>INCINERADOS DEL HUILA SAS E.S.P - INCIHUILA S.A.S E.S.P</t>
  </si>
  <si>
    <t>GUANTES DE NITRILO TALLAS M Y L (desechables, hipoalergénicos, no estériles, alta resistencia a la elongación, libre de talco, ambidiestros, puño con reborde.  Caja x 100 unidades)</t>
  </si>
  <si>
    <t>12COM014-2020</t>
  </si>
  <si>
    <t>IMPRIDEAS S.A.S</t>
  </si>
  <si>
    <t>DISPENSADOR DE GEL TIPO 1 ( Operador mecanicamente por medio de un pedal lo que hace que se oprima la valvula del envase dispensando el producto, caracteristicas:  Sistema de pedal para dispensador de antibacterial o alcohol, capacidad de un litro, color plata en pintura de polieuretano brillante - altura de 0,90 mt x ancho de 0.19 mt.</t>
  </si>
  <si>
    <t>12COM015-2020</t>
  </si>
  <si>
    <t>FUNDACION TEJEDORES POR LA PAZ</t>
  </si>
  <si>
    <t>CARETA DE BIOSEGURIDAD ELABORADA EN POLIETILENO DE ALTO IMPACTO Y VISOR TRANSPARENTE PET-MOVIL</t>
  </si>
  <si>
    <t>12COM016-2020</t>
  </si>
  <si>
    <t>KIT DE TAPETE DESINFECCION;(tamaño 65cm x 55cm, material en aluminio estructural con bordes redondeados, consta de :  a) tapete de secado. b) tapete humedo, esquinero en polimero, pegante poliuretano silicona.  c) inlcuye 40 ml en 25% de amonio cuaternario para 4 litros de agua.  resistible al amonio cuaternario, antideslizante.</t>
  </si>
  <si>
    <t>12COM017-2020</t>
  </si>
  <si>
    <t>CONTRATAR EN NOMBRE DE LA NACIÓN - CONSEJO SUPERIOR DE LA JUDICATURA – DIRECCIÓN EJECUTIVA DE ADMINISTRACIÓN JUDICIAL SECCIONAL NEIVA, POR EL SISTEMA DE PRECIOS UNITARIOS LA ADQUISICIÓN DE EQUIPOS BIOMÉDICOS ANTE LA EMERGENCIA SANITARIA (CORONAVIRUS- COVID-19), PARA LOS SERVIDORES – FUNCIONARIOS DE LOS DISTRITOS JUDICIALES DE NEIVA Y FLORENCIA, POR URGENCIA MANIFIESTA.</t>
  </si>
  <si>
    <t>EL PUNTO ELECTRICO LTDA</t>
  </si>
  <si>
    <t>TERMOMETRO INFRAROJO ( Modelo -JXB-178) (Marca Berrcon) Caracteristicas ; Pantalla de retroiluminación LCD con tres colores, Tamaño: 155-100*40 mm (LxWxH) Peso ( sin bateria): 105g Color Blanco, Resolución de pantalla de temperatura: 01 C, Consumo &lt; 300 mw</t>
  </si>
  <si>
    <t>12SER011-2020</t>
  </si>
  <si>
    <t>CONTRATAR LA PRESTACIÓN DE SERVICIOS DE PERSONAL DE APOYO A LA GESTIÓN (VIGÍAS DE SALUD) PARA VELAR POR EL CUMPLIMIENTO DE LOS PROTOCOLOS DE BIOSEGURIDAD ESTABLECIDOS POR LA RAMA JUDICIAL Y FORTALECER LAS MEDIDAS DE PREVENCIÓN DEL CONTAGIO Y DE LA PROPAGACIÓN DEL COVID -19.</t>
  </si>
  <si>
    <t>SOLUCIONES TEMPORALES S.A.S</t>
  </si>
  <si>
    <t>AUXILIARES DE ENFERMERIA EL VALOR TOTAL CORRESPONDE AL MES DE NOVIEMBRE SEDES: NEIVA (5), PITALITO (1), FLORENCIA (2). VALOR MENSUAL DE $ 12,249,824</t>
  </si>
  <si>
    <t>NIVEL CENTRAL</t>
  </si>
  <si>
    <t>O.C. 47545</t>
  </si>
  <si>
    <t>ADQUIRIR ELEMENTOS DE PROTECCION PERSONAL PARA PREVENIR EL CONTAGIO DEL COVID 19 CON DESTINO A LA RAMA JUDICIAL (TAPABOCAS DESECHABLES)</t>
  </si>
  <si>
    <t>CACHUCHAS Y CAMISETAS GOO WILL SAS</t>
  </si>
  <si>
    <t>O.C.47544</t>
  </si>
  <si>
    <t>ADQUIRIR ELEMENTOS DE PROTECCION PERSONAL PARA PREVENIR EL CONTAGIO DEL COVID 19 CON DESTINO A LA RAMA JUDICIAL (ALCOHOL ANTISEPTICO GALON)</t>
  </si>
  <si>
    <t>O.C.47546</t>
  </si>
  <si>
    <t>ADQUIRIR ELEMENTOS DE PROTECCION PERSONAL PARA PREVENIR EL CONTAGIO DEL COVID 19 CON DESTINO A LA RAMA JUDICIAL (GEL ANTIBACTERIAL GALON)</t>
  </si>
  <si>
    <t xml:space="preserve">PMI PROYECTOS MONTAJES E INGENIERIA </t>
  </si>
  <si>
    <t>GELANTIBACTERIAL – GALON CONCENTRACION MINIMA DEL 0,2%</t>
  </si>
  <si>
    <t>O.C.47547</t>
  </si>
  <si>
    <t>ADQUIRIR ELEMENTOS DE PROTECCION PERSONAL PARA PREVENIR EL CONTAGIO DEL COVID 19 CON DESTINO A LA RAMA JUDICIAL (JABON DISPENSADOR PARA MANOS)</t>
  </si>
  <si>
    <t>O.C.47552</t>
  </si>
  <si>
    <t>ADQUIRIR ELEMENTOS DE PROTECCION PERSONAL PARA PREVENIR EL CONTAGIO DEL COVID 19 CON DESTINO A LA RAMA JUDICIAL (TOALLAS PARA  MANOS)</t>
  </si>
  <si>
    <t>O.C.47742</t>
  </si>
  <si>
    <t>ADQUIRIR ELEMENTOS DE PROTECCION PERSONAL PARA PREVENIR EL CONTAGIO DEL COVID 19 CON DESTINO A LA RAMA JUDICIAL (MONOGAFA GOGGLESCONTRA IMPACTOS CON LENTES CLARAS)</t>
  </si>
  <si>
    <t>PANAMERICANA LIBRERÍA Y PAELERIA SA</t>
  </si>
  <si>
    <t>MONOGAFA GOGGLES CONTRA IMPACTOS
CON LENTES CLARAS COD. 900505987</t>
  </si>
  <si>
    <t>O.C. 48332</t>
  </si>
  <si>
    <t>ADQUIRIR ELEMENTOS DE PROTECCION PERSONAL PARA PREVENIR EL CONTAGIO DEL COVID 19 CON DESTINO A LA RAMA JUDICIAL (GEL ANTIBACTERIAL- CARETA DARNEL SENCILLA  - DISPENSADOR GEL PLANO - TERMOMETRO INFRAROJO)</t>
  </si>
  <si>
    <t>VADEL S.A.S.</t>
  </si>
  <si>
    <t>O.C. 49790</t>
  </si>
  <si>
    <t>CENCOSUD COLOMBIA SA</t>
  </si>
  <si>
    <t>CARETA DARNEL SENCILLA X 100 UN</t>
  </si>
  <si>
    <t>DISPENSADOR DE GEL PLANO TUBERIA 1 PULGADA NEGRO</t>
  </si>
  <si>
    <t>TERMOMETRO INFRAROJO SIN CONTACTO MOD FZY-208A</t>
  </si>
  <si>
    <t>O.C. 50632</t>
  </si>
  <si>
    <t>ADQUIRIR ELEMENTOS DE PROTECCION PERSONAL PARA PREVENIR EL CONTAGIO DEL COVID 19 CON DESTINO A LA RAMA JUDICIAL (AMONIO CUATERNARIO, KIT DE TAPETES DESINFECTANTES, ALCOHOL USO GENERAL  CON ATOMIZADOR VIVAMACH )</t>
  </si>
  <si>
    <t xml:space="preserve">OFFICE DEPOT </t>
  </si>
  <si>
    <t>KIT DE TAPETES DESINFECTANTE (2 bandejas, tapete humedo y seco, y un galon amonio cuaternario x 3.800 m.l.)</t>
  </si>
  <si>
    <t>O.C. 50851</t>
  </si>
  <si>
    <t>ADQUIRIR ELEMENTOS DE PROTECCION PERSONAL PARA PREVENIR EL CONTAGIO DEL COVID 19 CON DESTINO A LA RAMA JUDICIAL (TAPABOCAS DOBLE TELA LAVABLE )</t>
  </si>
  <si>
    <t>M.A.S. EMPRESARIAL SM SAS</t>
  </si>
  <si>
    <t>O.C. 51219</t>
  </si>
  <si>
    <t>ADQUIRIR ELEMENTOS DE PROTECCION PERSONAL PARA PREVENIR EL CONTAGIO DEL COVID 19 CON DESTINO A LA RAMA JUDICIAL (GUANTES DE NITRILO)</t>
  </si>
  <si>
    <t>PASTO</t>
  </si>
  <si>
    <t>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t>
  </si>
  <si>
    <t>SOLMAQ SAS</t>
  </si>
  <si>
    <t xml:space="preserve">MONOGAFA PROTECCION ALTO RENDIMIENTO Norma ANSI Z87.1-2010 Y  CSA Z94.3. </t>
  </si>
  <si>
    <t>TRAJE DE PROTECCIÓN OVEROL</t>
  </si>
  <si>
    <t>TAPABOCAS N95</t>
  </si>
  <si>
    <t>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t>
  </si>
  <si>
    <t>ADRIANA BARRERA</t>
  </si>
  <si>
    <t>GUANTE LATEX</t>
  </si>
  <si>
    <t>DISPENSADOR JABÓN ACERO INOXIDABLE X 500 CC</t>
  </si>
  <si>
    <t>DISPENSADOR GEL  EN POLIPROPILENO 350 CC</t>
  </si>
  <si>
    <t>DISPENSADOR TOALLA EN ROLLO DE 100 MTS</t>
  </si>
  <si>
    <t>TOALLA ROLLO COLOR NATURAL 2H*100 METROS</t>
  </si>
  <si>
    <t>CONTRATAR EN NOMBRE DE LA NACIÓN, CONSEJO SUPERIOR DE JUDICATURA, DIRECCIÓN EJECUTIVA SECCIONAL DE ADMINISTRACIÓN JUDICIAL DE PASTO LA ADQUISICIÓN MEDIANTE LA MODALIDAD DE COMPRAVENTA DE TAPABOCAS PARA LOS SERVIDORES JUDICIALES DE LOS DISTRITOS JUDICIALES DE PASTO Y MOCOA</t>
  </si>
  <si>
    <t>INCINERADOS DEL HUILA SAS E.S.P.</t>
  </si>
  <si>
    <t>TAPABOCAS  DESECHABLE DE 3 CAPAS</t>
  </si>
  <si>
    <t>CONTRATAR EN NOMBRE DE LA NACIÓN, CONSEJO SUPERIOR DE JUDICATURA, DIRECCIÓN EJECUTIVA SECCIONAL ADMINISTRACIÓN JUDICIAL PASTO LA ADQUISICIÓN MEDIANTE LA MODALIDAD DE COMPRAVENTA GEL ANTIBACTERIAL EN PRESENTACIÓN DE 120 ML</t>
  </si>
  <si>
    <t xml:space="preserve">BIO LABORATORIOS ESTELAR S.A.S </t>
  </si>
  <si>
    <t>O.C. 47665</t>
  </si>
  <si>
    <t>CONTRATAR EN NOMBRE DE LA NACIÓN, CONSEJO SUPERIOR DE JUDICATURA, DIRECCIÓN EJECUTIVA SECCIONAL DE ADMINISTRACIÓN JUDICIAL DE PASTO LA ADQUISICIÓN MEDIANTE LA MODALIDAD DE COMPRAVENTA DE TAPABOCAS Y GUANTES PARA LOS SERVIDORES JUDICIALES DE LOS DISTRITOS JUDICIALES DE PASTO Y MOCOA</t>
  </si>
  <si>
    <t>DYD SAS</t>
  </si>
  <si>
    <t>O.C. 47666</t>
  </si>
  <si>
    <t>O.C. 47878</t>
  </si>
  <si>
    <t>ADQUISICIÓN DE TERMÓMETROS CON EL FIN DE APLICAR MEDIDAS DE CONTROL DE INGRESO DE PERSONAS A LAS SEDES JUDICIALES, DENTRO DE LAS MEDIDAS DE PREVENCIÓN DEL COVID19</t>
  </si>
  <si>
    <t>TERMOMETRO INFRA-ROJO 9V</t>
  </si>
  <si>
    <t xml:space="preserve">O.C. 47879 </t>
  </si>
  <si>
    <t>TERMOMETRO  INFRA-ROJO 9V</t>
  </si>
  <si>
    <t>O.C. 48782</t>
  </si>
  <si>
    <t>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t>
  </si>
  <si>
    <t>O.C. 48783</t>
  </si>
  <si>
    <t>O.C. 48784</t>
  </si>
  <si>
    <t>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t>
  </si>
  <si>
    <t>Ofibest S.A.S</t>
  </si>
  <si>
    <t>O.C. 48785</t>
  </si>
  <si>
    <t>O.C. 48968</t>
  </si>
  <si>
    <t>O.C. 49003</t>
  </si>
  <si>
    <t>SERE GROUP SAS</t>
  </si>
  <si>
    <t>O.C. 49342</t>
  </si>
  <si>
    <t>CONTRATAR EN NOMBRE DE LA NACIÓN, CONSEJO SUPERIOR DE JUDICATURA, DIRECCIÓN
EJECUTIVA SECCIONAL DE ADMINISTRACIÓN JUDICIAL DE PASTO LA ADQUISICIÓN MEDIANTE
LA MODALIDAD DE COMPRAVENTA DE TERMÓMETROS INFRARROJOS PARA UBICAR EN ALGUNAS
SEDES JUDICIALES DE LOS DISTRITOS JUDICIALES DE PASTO Y MOCOA</t>
  </si>
  <si>
    <t>TERMOMETRO DIGITAL INFRA-ROJO</t>
  </si>
  <si>
    <t>CONTRATAR EN NOMBRE DE LA NACIÓN, CONSEJO SUPERIOR DE JUDICATURA, DIRECCIÓN EJECUTIVA SECCIONAL DE ADMINISTRACIÓN JUDICIAL DE PASTO, EL SUMINISTRO E INSTALACIÓN DE LAS DIVISIONES EN ALUMINIO E INTERCOMUNICADORES EN EL PALACIO DE JUSTICIA DE PASTO.</t>
  </si>
  <si>
    <t>ADC DECORACIONES LIMITADA</t>
  </si>
  <si>
    <t>BARRERA. PUERTA  BATIENTE  CON MARCO  DE ALUMINIO  NATURAL  EN PERFIL T-215, ADAPTADOR PROYECTANTE  Y PISA VIDRIO PROYECTANTE 635, CON VIDRIO DE 6 MM, CON VINILO ESMERILADO   SANDBLASTING,    EN   LA   PARTE   INFERIOR   Y SUPERIOR DOBLE VIDRIO DE 6 MM PARA FACILITAR LA COMUNICACIÓN   ENTRE   LA  PARTE   INTERIOR   Y  EXTERIOR, INCLUYE  VENTANA  CORREDIZA  PASA DOCUMENTOS  A UNA ALTURA  DE  90  CMS,  MESÓN  DE  APOYO  PASA DOCUMENTOS   INTERNO   CON   SISTEMA   REMOVIBLE,   EN MDF  CON  CUBIERTA  EN FORMICA  O SIMILAR,  CHAPA  DE SEGURIDAD  170 ¼. INCLUYE ASEO GENERAL</t>
  </si>
  <si>
    <t>METRO CUADRADO</t>
  </si>
  <si>
    <t xml:space="preserve">DIVISION  CON MARCO DE ALUMINIO  NATURAL EN PERFIL T-1101 Y PISAVIDRIO  PROYECTANTE  635, CON VIDRIO CRISTAL DE  5MM,  INCL.  ELEMENTOS   DE  FIJACIÓN  A  MESON  Y TECHO
</t>
  </si>
  <si>
    <t>SUMINISTRO E INSTALACIÓN DE: INTERCOMUNICADOR POTENCIA INTERNA MÍNIMA: 3   WATTS; POTENCIA    EXTERNA:    5-7.   DIMENSIONES: UNIDAD EXTERNA: DIÁMETRO 12.7 CM, PROFUNDIDAD 4.8 CM. UNIDAD INTERNA: DIÁMETRO 12.7 CM, PROFUNDIDAD 4.8 CM. MICRÓFONO FLEXIBLE: LARGO MÍNIMO: 59 CM. ADAPTADOR DE 110V/220V AC A 12V</t>
  </si>
  <si>
    <t>SUMINISTRO  E  INSTALACIÓN   DE  SALIDA  TOMACORRIENTE PARA INTERCOMUNICADOR</t>
  </si>
  <si>
    <t>CONTRATAR EN NOMBRE DE LA NACIÓN, CONSEJO SUPERIOR DE JUDICATURA, DIRECCIÓN EJECUTIVA SECCIONAL DE ADMINISTRACIÓN JUDICIAL DE PASTO, MEDIANTE LA MODALIDAD DE COMPRA VENTA, LA ADQUISICIÓN DE LAVAMANOS PORTÁTILES CON DESTINO A ALGUNAS SEDES JUDICIALES DE LOS DISTRITOS DE PASTO Y MOCOA.</t>
  </si>
  <si>
    <t>PROINCOL JK SAS</t>
  </si>
  <si>
    <t>LAVAMANOS EN ACERO INOXIDABLE ACCION CON PEDAL DOBLE FUNCIONALIDAD, PORTATIL.</t>
  </si>
  <si>
    <t>O.C. 50509</t>
  </si>
  <si>
    <t>CONTRATAR EN NOMBRE DE LA NACIÓN, CONSEJO SUPERIOR DE JUDICATURA,
DIRECCIÓN EJECUTIVA SECCIONAL DE ADMINISTRACIÓN JUDICIAL DE PASTO,
MEDIANTE LA MODALIDAD DE COMPRAVENTA, LA ADQUISICIÓN DE CARETAS
PLÁSTICAS PARA LOS SERVIDORES JUDICIALES Y ADMINISTRATIVOS DE LOS DISTRITOS
PASTO Y MOCOA</t>
  </si>
  <si>
    <t>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t>
  </si>
  <si>
    <t>ECO PLAGAS PUTUMAYO</t>
  </si>
  <si>
    <t xml:space="preserve">DESINFECCION - DESRATIZACION PALACIO DE JUSTICIA DE PASTO      </t>
  </si>
  <si>
    <t>SERVICIO</t>
  </si>
  <si>
    <t>DESINFECCION - DESRATIZACION ALMACEN SECCIONAL  PASTO</t>
  </si>
  <si>
    <t>DESINFECCION - DESRATIZACION PASTO- EDIFICIO CHAVES   PASTO</t>
  </si>
  <si>
    <t>DESINFECCION - DESRATIZACION PASTO - EDIFICIO   RIL    PASTO</t>
  </si>
  <si>
    <t>DESINFECCION - DESRATIZACION PASTO- EDIFICIO MONTANA   PASTO</t>
  </si>
  <si>
    <t>SEDE JUZGADO 1 DE COMPETENCIAS MULTIPLES PASTO</t>
  </si>
  <si>
    <t xml:space="preserve">ARCHIVO JUDICIAL PASTO        </t>
  </si>
  <si>
    <t>DESINFECCION - DESRATIZACION DESINFECCION - DESRATIZACION SEDE JUZGADO PROMISCUO MUNICIPAL  ANCUYA</t>
  </si>
  <si>
    <t>DESINFECCION - DESRATIZACION SEDE JUZGADO PROMISCUO MUNICIPAL  CONSACA</t>
  </si>
  <si>
    <t>DESINFECCION - DESRATIZACION SEDE JUZGADO PROMISCUO MUNICIPAL  LA FLORIDA</t>
  </si>
  <si>
    <t>DESINFECCION - DESRATIZACION SEDE JUZGADO PROMISCUO MUNICIPAL  YACUANQUER</t>
  </si>
  <si>
    <t>DESINFECCION - DESRATIZACION SEDE JUZGADO PROMISCUO MUNICIPAL  EL TABLON DE GOMEZ</t>
  </si>
  <si>
    <t>DESINFECCION - DESRATIZACION SEDE JUZGADO PROMISCUO MUNICIPAL  TAMINANGO</t>
  </si>
  <si>
    <t>DESINFECCION - DESRATIZACION SEDE JUZGADO PROMISCUO MUNICIPAL  SANDONA</t>
  </si>
  <si>
    <t>DESINFECCION - DESRATIZACION SEDE JUZGADO PROMISCUO MUNICIPAL  POLICARPA</t>
  </si>
  <si>
    <t>DESINFECCION - DESRATIZACION SEDE JUZGADO PROMISCUO MUNICIPAL  EL ROSARIO</t>
  </si>
  <si>
    <t>DESINFECCION - DESRATIZACION SEDE JUZGADO PROMISCUO MUNICIPAL  LEYVA</t>
  </si>
  <si>
    <t>DESINFECCION - DESRATIZACION SEDE JUZGADO PROMISCUO MUNICIPAL  NARIÑO</t>
  </si>
  <si>
    <t>DESINFECCION - DESRATIZACION SEDE JUZGADO PROMISCUO MUNICIPAL  CHACHAGUI</t>
  </si>
  <si>
    <t>DESINFECCION - DESRATIZACION SEDE JUZGADO PROMISCUO MUNICIPAL  EL TAMBO</t>
  </si>
  <si>
    <t>DESINFECCION - DESRATIZACION SEDE JUZGADO PROMISCUO MUNICIPAL  EL PEÑOL</t>
  </si>
  <si>
    <t>DESINFECCION - DESRATIZACION SEDE JUZGADO PROMISCUO MUNICIPAL  TANGUA</t>
  </si>
  <si>
    <t>DESINFECCION - DESRATIZACION SEDE JUZGADO PROMISCUO MUNICIPAL  BUESACO</t>
  </si>
  <si>
    <t xml:space="preserve">DESINFECCION - DESRATIZACION PALACIO DE JUSTICIA DE IPIALES    </t>
  </si>
  <si>
    <t>DESINFECCION - DESRATIZACION SEDE JUZGADO PROMISCUO MUNICIPAL  ALDANA</t>
  </si>
  <si>
    <t>DESINFECCION - DESRATIZACION SEDE JUZGADO PROMISCUO MUNICIPAL  PUERRES</t>
  </si>
  <si>
    <t xml:space="preserve">DESINFECCION - DESRATIZACION SEDE JUZGADO PROMISCUO MUNICIPAL  CUMBAL </t>
  </si>
  <si>
    <t>DESINFECCION - DESRATIZACION SEDE JUZGADO PROMISCUO MUNICIPAL  ILES</t>
  </si>
  <si>
    <t>DESINFECCION - DESRATIZACION SEDE JUZGADO PROMISCUO MUNICIPAL  CUASPUD</t>
  </si>
  <si>
    <t>DESINFECCION - DESRATIZACION SEDE JUZGADO PROMISCUO MUNICIPAL PUPIALES</t>
  </si>
  <si>
    <t>DESINFECCION - DESRATIZACION SEDE JUZGADO PROMISCUO MUNICIPAL  CORDOBA</t>
  </si>
  <si>
    <t>DESINFECCION - DESRATIZACION SEDE JUZGADO PROMISCUO MUNICIPAL  GUACHUCAL</t>
  </si>
  <si>
    <t>DESINFECCION - DESRATIZACION SEDE JUZGADO PROMISCUO MUNICIPAL  POTOSI</t>
  </si>
  <si>
    <t>DESINFECCION - DESRATIZACION SEDE JUZGADO PROMISCUO MUNICIPAL  GUALMATAN</t>
  </si>
  <si>
    <t>DESINFECCION - DESRATIZACION SEDE JUZGADO PROMISCUO MUNICIPAL  FUNES</t>
  </si>
  <si>
    <t>DESINFECCION - DESRATIZACION SEDE JUZGADO PROMISCUO MUNICIPAL  EL CONTADERO</t>
  </si>
  <si>
    <t xml:space="preserve">DESINFECCION - DESRATIZACION PALACIO DE JUSTICIA DE LA UNION       </t>
  </si>
  <si>
    <t>DESINFECCION - DESRATIZACION SEDE JUZGADO PROMISCUO MUNICIPAL  SAN LORENZO</t>
  </si>
  <si>
    <t>DESINFECCION - DESRATIZACION SEDE JUZGADO PROMISCUO MUNICIPAL  ARBOLEDA</t>
  </si>
  <si>
    <t>DESINFECCION - DESRATIZACION SEDE JUZGADO PROMISCUO MUNICIPAL  SAN PEDRO DE CARTAGO</t>
  </si>
  <si>
    <t>DESINFECCION - DESRATIZACION SEDE donde funcionan Juzgado Promiscuo de Familia,  Juzgado Promiscuo del Circuito,  Juzgados Primero y Segundo Promiscuo Municipal   DE  BARBACOAS</t>
  </si>
  <si>
    <t>DESINFECCION - DESRATIZACION SEDE JUZGADO PROMISCUO MUNICIPAL  MAGUI PAYAN</t>
  </si>
  <si>
    <t>DESINFECCION - DESRATIZACION SEDE JUZGADO PROMISCUO MUNICIPAL  ROBERTO PAYAN</t>
  </si>
  <si>
    <t>DESINFECCION - DESRATIZACION SEDE donde funcionan Juzgado Promiscuo  del Circuito,  Juzgado Promiscuo Municipal  LA CRUZ</t>
  </si>
  <si>
    <t>DESINFECCION - DESRATIZACION SEDE JUZGADO PROMISCUO DE FAMILIA LA CRUZ</t>
  </si>
  <si>
    <t>DESINFECCION - DESRATIZACION SEDE JUZGADO PROMISCUO MUNICIPAL  BELEN</t>
  </si>
  <si>
    <t>DESINFECCION - DESRATIZACION SEDE JUZGADO PROMISCUO MUNICIPAL  SAN JOSE</t>
  </si>
  <si>
    <t>DESINFECCION - DESRATIZACION SEDE JUZGADO PROMISCUO MUNICIPAL  SAN PABLO</t>
  </si>
  <si>
    <t>DESINFECCION - DESRATIZACION SEDE JUZGADO PROMISCUO MUNICIPAL  COLON GENOVA</t>
  </si>
  <si>
    <t>DESINFECCION - DESRATIZACION SEDE JUZGADO PROMISCUO MUNICIPAL  SAN BERNARDO</t>
  </si>
  <si>
    <t>DESINFECCION - DESRATIZACION SEDE donde funcionan Juzgado Promiscuo   Juzgado Promiscuo del Circuito,  Juzgados Primero y Segundo Promiscuo Municipal   DE SAMANIEGO</t>
  </si>
  <si>
    <t>DESINFECCION - DESRATIZACION SEDE JUZGADO PROMISCUO DE FAMILIA SAMANIEGO</t>
  </si>
  <si>
    <t>DESINFECCION - DESRATIZACION SEDE JUZGADO PROMISCUO MUNICIPAL  CUMBITARA</t>
  </si>
  <si>
    <t>DESINFECCION - DESRATIZACION SEDE JUZGADO PROMISCUO MUNICIPAL  LINARES</t>
  </si>
  <si>
    <t>DESINFECCION - DESRATIZACION SEDE JUZGADO PROMISCUO MUNICIPAL  LA LLANADA</t>
  </si>
  <si>
    <t>DESINFECCION - DESRATIZACION SEDE JUZGADO PROMISCUO MUNICIPAL  PROVIDENCIA</t>
  </si>
  <si>
    <t>DESINFECCION - DESRATIZACION SEDE JUZGADO PROMISCUO MUNICIPAL  LOS ANDES SOTOMAYOR</t>
  </si>
  <si>
    <t xml:space="preserve">DESINFECCION - DESRATIZACION PALACIO DE JUSTICIA  DE TUMACO          </t>
  </si>
  <si>
    <t>DESINFECCION - DESRATIZACION SEDE  JUZGADOS  DE ADOSLESCENCIA, EJECUCION DE PENAS,  ARCHIVO JUDICIAL  DE TUMACO</t>
  </si>
  <si>
    <t>DESINFECCION - DESRATIZACION SEDE JUZGADO PROMISCUO MUNICIPAL  EL CHARCO</t>
  </si>
  <si>
    <t>DESINFECCION - DESRATIZACION SEDE JUZGADO PROMISCUO MUNICIPAL  MOSQUERA</t>
  </si>
  <si>
    <t>DESINFECCION - DESRATIZACION SEDE JUZGADO PROMISCUO MUNICIPAL  OLAYA HERRERA</t>
  </si>
  <si>
    <t>DESINFECCION - DESRATIZACION SEDE JUZGADO PROMISCUO MUNICIPAL  FRANCISCO PIZARRO</t>
  </si>
  <si>
    <t>DESINFECCION - DESRATIZACION SEDE JUZGADO PROMISCUO MUNICIPAL  LA TOLA</t>
  </si>
  <si>
    <t>DESINFECCION - DESRATIZACION SEDE JUZGADO PROMISCUO MUNICIPAL  SANTA BARBARA</t>
  </si>
  <si>
    <t xml:space="preserve">DESINFECCION - DESRATIZACION PALACIO DE JUSTICIA  TUQUERRES         </t>
  </si>
  <si>
    <t xml:space="preserve">ARCHIVO TUQUERRES           </t>
  </si>
  <si>
    <t>DESINFECCION - DESRATIZACION SEDE JUZGADO PROMISCUO MUNICIPAL  GUAITARILLA</t>
  </si>
  <si>
    <t>DESINFECCION - DESRATIZACION SEDE JUZGADO PROMISCUO MUNICIPAL  IMUEZ</t>
  </si>
  <si>
    <t>DESINFECCION - DESRATIZACION SEDE JUZGADO PROMISCUO MUNICIPAL  PIEDRANCHA</t>
  </si>
  <si>
    <t>DESINFECCION - DESRATIZACION SEDE JUZGADO PROMISCUO MUNICIPAL  OSPINA</t>
  </si>
  <si>
    <t>DESINFECCION - DESRATIZACION SEDE JUZGADO PROMISCUO MUNICIPAL  GUACHAVEZ</t>
  </si>
  <si>
    <t>DESINFECCION - DESRATIZACION SEDE JUZGADO PROMISCUO MUNICIPAL  RICAURTE</t>
  </si>
  <si>
    <t>DESINFECCION - DESRATIZACION SEDE JUZGADO PROMISCUO MUNICIPAL  SAPUYES</t>
  </si>
  <si>
    <t xml:space="preserve">DESINFECCION - DESRATIZACION PALACIO DE JUSTICIA DE MOCOA      </t>
  </si>
  <si>
    <t>EDIFICIO CASTILLO REAL  - BARRIO EL NARANJITO MOCOA</t>
  </si>
  <si>
    <t>DESINFECCION - DESRATIZACION SEDE JUZGADO PROMISCUO MUNICIPAL VILLAGARZON</t>
  </si>
  <si>
    <t>DESINFECCION - DESRATIZACION SEDE JUZGADO PROMISCUO MUNICIPAL  PUERTO GUZMAN</t>
  </si>
  <si>
    <t>DESINFECCION - DESRATIZACION PALACIO DE JUSTICIA PUERTO ASIS</t>
  </si>
  <si>
    <t>DESINFECCION - DESRATIZACION SEDE JUZGADO PROMISCUO MUNICIPAL  LA HORMIGA</t>
  </si>
  <si>
    <t>DESINFECCION - DESRATIZACION SEDE JUZGADO PROMISCUO MUNICIPAL  ORITO</t>
  </si>
  <si>
    <t>DESINFECCION - DESRATIZACION SEDE JUZGADO PROMISCUO MUNICIPAL  PUERTO CAICEDO</t>
  </si>
  <si>
    <t>DESINFECCION - DESRATIZACION SEDE JUZGADO PROMISCUO MUNICIPAL  SAN MIGUEL PUTUMAYO</t>
  </si>
  <si>
    <t>DESINFECCION - DESRATIZACION SEDE Juzgado Promiscuo  del Circuito,  Juzgado Promiscuo Municipal y Juzgado Promiscuo de Familia DE SIBUNDOY</t>
  </si>
  <si>
    <t>DESINFECCION - DESRATIZACION SEDE JUZGADO PROMISCUO MUNICIPAL  SAN FRANCISCO PUTUMAYO</t>
  </si>
  <si>
    <t>DESINFECCION - DESRATIZACION SEDE JUZGADO PROMISCUO MUNICIPAL  SANTIAGO PUTUMAYO</t>
  </si>
  <si>
    <t>DESINFECCION - DESRATIZACION SEDE JUZGADO PROMISCUO MUNICIPAL  COLON PUTUMAYO</t>
  </si>
  <si>
    <t>O.C. 50868</t>
  </si>
  <si>
    <t>CONTRATAR EN NOMBRE DE LA NACIÓN, CONSEJO SUPERIOR DE JUDICATURA, DIRECCIÓN
EJECUTIVA SECCIONAL DE ADMINISTRACIÓN JUDICIAL DE PASTO LA ADQUISICIÓN MEDIANTE
LA MODALIDAD DE COMPRAVENTA DE CONTENEDORES DE RESIDUOS, PARA UBICAR EN LAS
SEDES JUDICIALES DE LOS DISTRITOS JUDICIALES DE PASTO Y MOCOA</t>
  </si>
  <si>
    <t>CANECA 35 LT ROJA TAPA PEDAL</t>
  </si>
  <si>
    <t>CONTRATAR EN NOMBRE DE LA NACIÓN, CONSEJO SUPERIOR DE JUDICATURA, DIRECCIÓN EJECUTIVA SECCIONAL DE ADMINISTRACIÓN JUDICIAL DE PASTO EL SERVICIO DE VIGÍA DE LA SALUD EN ALGUNAS SEDES JUDICIALES DE LOS DISTRITOS DE PASTO Y MOCOA</t>
  </si>
  <si>
    <t>IPS PROTEGEMOS</t>
  </si>
  <si>
    <t>VIGÍAS DE LA SALUD EN: LA CRUZ</t>
  </si>
  <si>
    <t>VIGÍAS DE LA SALUD EN: SAMANIEGO</t>
  </si>
  <si>
    <t>VIGÍAS DE LA SALUD EN: TUMACO</t>
  </si>
  <si>
    <t>VIGÍAS DE LA SALUD EN: TUQUERRES</t>
  </si>
  <si>
    <t>VIGÍAS DE LA SALUD EN: IPIALES</t>
  </si>
  <si>
    <t>VIGÍAS DE LA SALUD EN: BARBACOAS</t>
  </si>
  <si>
    <t>VIGÍAS DE LA SALUD EN: LA UNIÓN</t>
  </si>
  <si>
    <t>VIGÍAS DE LA SALUD EN: MOCOA</t>
  </si>
  <si>
    <t>VIGÍAS DE LA SALUD EN: PUERTO ASÍS</t>
  </si>
  <si>
    <t>VIGÍAS DE LA SALUD EN: SIBUNDOY</t>
  </si>
  <si>
    <t>POPAYÁN</t>
  </si>
  <si>
    <t>´19</t>
  </si>
  <si>
    <t>CONTRATAR A NOMBRE DE LA NACION - CONSEJO SUPERIOR DE LA JUDICATURA - DIRECCION SECCIONAL DE ADMINISTRACION JUDICIAL DE POPAYAN, LA PRESTACION DE SERVICIOS DE PERSONAL DE APOYO PARA EL FORTALECIMIENTO DE LAS MEDIDAS DE PREVENCION DEL CONTAGIO Y LA PROPAGACION DEL COVID - 19, ENCARGADOS DE LA TOMA DE TEMPERATURA CORPORAL, VERIFICACION DE SINTOMAS, ADEMAS DE VELAR POR EL CUMPLIMIENTO DE LOS PROTOCOLOS DE BIOSEGURIDAD DEFINIDOS POR LA ENTIDAD, EN LAS SEDES DE MAYOR INFLUENCIA EN EL DISTRITO JUDICIAL DE POPAYAN.</t>
  </si>
  <si>
    <t>CRUZ ROJA COLOMBIANA SECCIONAL CAUCA</t>
  </si>
  <si>
    <t>CONTRATACION DE PERSONAL DE APOYO PARA LA PREVENCION DEL CONTAGIO Y LA PROPAGACION DEL COVID-19</t>
  </si>
  <si>
    <t>´20</t>
  </si>
  <si>
    <t>CONTRATAR A NOMBRE DE LA NACION - CONSEJO SUPERIOR DE LA JUDICATURA - DIRECCION SECCIONAL DE ADMINISTRACION JUDICIAL DE POPAYAN, LA ADQUISICION  DE DIADEMAS Y CAMARAS WEB PARA LOS DESPACHOS JUDICIALES Y TRIBUNALES DEL DISTRITO JUDICIAL DE POPAYAN.</t>
  </si>
  <si>
    <t>JOSE ARLES CAMACHO VIVEROS</t>
  </si>
  <si>
    <t>DIADEMAS INHALAMBRICA VIDVIE</t>
  </si>
  <si>
    <t>WEB CAM HD1080 P</t>
  </si>
  <si>
    <t>´21</t>
  </si>
  <si>
    <t>CONTRATAR EN NOMBRE DE LA NACIÓN – CONSEJO SUPERIOR DE LA JUDICATURA – DIRECCIÓN EJECUTIVA SECCIONAL DE ADMINISTRACIÓN JUDICIAL DE POPAYÁN, LA ADQUISICIÓN O COMPRA DE OCHENTA (80) TAPETES DESINFECTANTES DE SUELAS DE ZAPATOS PARA DE LIMPIEZA Y/O DESINFECCIÓN Y OCHENTA (80) GALONES DE AMONIO CUATERNARIO QUE AYUDE A MITIGAR LA TRANSMISIÓN DE AGENTES INFECCIOSOS Y DE DISMINUIR LA PROBABILIDAD DE CONTAMINACIÓN CRUZADA, CON EL FIN DE FORTALECER LAS MEDIDAS DE PREVENCIÓN DEL CONTAGIO Y DE LA PROPAGACIÓN DEL COVID -19, CON LO QUE ADEMÁS SE PROPENDE POR EL CUMPLIMIENTO DE LOS PROTOCOLOS DE BIOSEGURIDAD DEFINIDOS POR LA ENTIDAD, EN LAS SEDES JUDICIALES.</t>
  </si>
  <si>
    <t>OCUPA SOLUCIONES S.A.S</t>
  </si>
  <si>
    <t>AMONIO CUATERNARIO</t>
  </si>
  <si>
    <t>´22</t>
  </si>
  <si>
    <t>CONTRATAR EN NOMBRE DE LA NACIÓN – CONSEJO SUPERIOR DE LA JUDICATURA – DIRECCIÓN EJECUTIVA SECCIONAL DE ADMINISTRACIÓN JUDICIAL DE POPAYÁN, LA ADQUISICIÓN O COMPRA DE DOSCIENTAS (200) DIVISIONES METÁLICAS CON ACRÍLICO TRASLUCIDO CON EXCELENTES ACABADOS CON EL PROPÓSITO DE FACILITAR EL AISLAMIENTO DE LOS USUARIOS DE LA JUSTICIA Y LOS SERVIDORES JUDICIALES, QUE AYUDE A DISMINUIR LA PROBABILIDAD DE CONTAMINACIÓN Y DE CREAR UNA BARRERA DE PROTECCIÓN PARA QUIENES ATIENDEN PÚBLICO.</t>
  </si>
  <si>
    <t>JOHN ALEJANDRO FRANCO OTERO</t>
  </si>
  <si>
    <t>DIVISION METALICA CON ACRILICO TRASLUCIDA</t>
  </si>
  <si>
    <t>´23</t>
  </si>
  <si>
    <t>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t>
  </si>
  <si>
    <t>BAYRON MARCELO AREVALO MUÑOZ</t>
  </si>
  <si>
    <t>TABLOIDE PROPALCOTE DE 320 GR.FULL COLOR DE 33CMS X 47CM 332</t>
  </si>
  <si>
    <t>VINILOS ADHESIVOS FULL IMPRESIÓN 21CMX16CM 106</t>
  </si>
  <si>
    <t>VINILO ADHESIVO CON PROTECCIÓN EN FLOORGRAPHIC MEDIDAS 5CMS X 47CMS 500</t>
  </si>
  <si>
    <t>´01</t>
  </si>
  <si>
    <t>CONTRATAR LA ADQUISICIÓN DE ELEMENTOS PARA LA PREVENCIÓN DE LA PROPAGACIÓN DEL VIRUS COVID-19.</t>
  </si>
  <si>
    <t>INFOSUR LTDA</t>
  </si>
  <si>
    <t>DISPENSADOR PARA JABON DE MANOS</t>
  </si>
  <si>
    <t>GUANTES PROTEX LATEX EXAMEN T/M100</t>
  </si>
  <si>
    <t>GUANTES PROTEX LATEX EXAMEN T/L</t>
  </si>
  <si>
    <t>´02</t>
  </si>
  <si>
    <t>CONTRATAR LA ADQUISICIÓN DE ELEMENTOS PARA LA PREVENCIÓN DE LA PROPAGACIÓN DEL VIRUS COVID-19 (TAPABOCAS Y GUANTES)</t>
  </si>
  <si>
    <t>GRUPO UNIVERSALES PROVEEDORES INTEGRALES S.A.S.</t>
  </si>
  <si>
    <t>GUANTES LATEX C X 100 UND T XS</t>
  </si>
  <si>
    <t>GUANTES LATEX C X 100 UND T S</t>
  </si>
  <si>
    <t>TAPABOCA DESECHABLE RESORTADO</t>
  </si>
  <si>
    <t>´04</t>
  </si>
  <si>
    <t>CONTRATAR LA ADQUISICIÓN DE ELEMENTOS PARA LA PREVENCIÓN DE LA PROPAGACIÓN DEL VIRUS COVID-19 GEL ANTIBACTERIAL</t>
  </si>
  <si>
    <t>´05</t>
  </si>
  <si>
    <t>GRUPO EMPRESARIAL VID S.A.S.</t>
  </si>
  <si>
    <t>TRAJE TIPO TYBEK BLANCO</t>
  </si>
  <si>
    <t>GAFA CLARA SENCILLA</t>
  </si>
  <si>
    <t>O.C. 46250</t>
  </si>
  <si>
    <t>ESTUDIOS Y DOCUMENTOS PREVIOS PARA LA ADQUISICIÓN DE TOALLAS DE PAPEL PARA MANOS, CON DESTINO A LOS FUNCIONARIOS Y EMPLEADOS DE LAS CORPORACIONES Y DESPACHOS JUDICIALES DEL DEPARTAMENTO DEL CAUCA, EN ATENCIÓN Y APLICACIÓN DE LOS LINEAMIENTOS EMITIDOS POR EL MINISTERIO DE TRABAJO EN LA CIRCULAR NO. 0017 DE FECHA 24 DE FEBRERO DE 2020 – COVID-19.</t>
  </si>
  <si>
    <t>TOALLA PARA MANOS NATURAL X 100 MT</t>
  </si>
  <si>
    <t>´06</t>
  </si>
  <si>
    <t>CONTRATAR LA ADQUISICIÓN DE ELEMENTOS PARA LA PREVENCIÓN DE LA PROPAGACIÓN DEL VIRUS COVID-19 (GEL ANTIBACTERIAL Y GUANTES)</t>
  </si>
  <si>
    <t>CAJA DE GUANTES LATEX X 100 UND</t>
  </si>
  <si>
    <t>´07</t>
  </si>
  <si>
    <t>CONTRATAR LA ADQUISICIÓN DE ELEMENTOS PARA LA PREVENCIÓN DE LA PROPAGACIÓN DEL VIRUS COVID-19 (TAPABOCAS)</t>
  </si>
  <si>
    <t>TAPABOCAS DESECHABLES UNIVERSALES</t>
  </si>
  <si>
    <t>´13</t>
  </si>
  <si>
    <t>CONTRATAR LA ADQUISICIÓN DE ELEMENTOS PARA LA PREVENCIÓN DE LA PROPAGACIÓN DEL VIRUS COVID-19. (TAPABOCAS OXINDUSTRIAL)</t>
  </si>
  <si>
    <t>GRUPO EMPRESARIAL VID S.A.S</t>
  </si>
  <si>
    <t>RESPIRADOR DE TELA ECONOMICO NEGRO /AZUL/BLANCO</t>
  </si>
  <si>
    <t>´15</t>
  </si>
  <si>
    <t>REPARACION DEL SISTEMA DE BOMBEO DE AGUA Y EL MANTENIMIENTO DE ALGUNOS APARATOS SANITARIOS EN EL PALACIO DE JUSTICIA DEL DORDO CAUCA, A TODO COSTO</t>
  </si>
  <si>
    <t>HERNAN OBANDO</t>
  </si>
  <si>
    <t>REPARACIÓN  DEL  SISTEMA  DE  BOMBEO  DE  AGUA  Y  EL MANTENIMIENTODE ALGUNOS APARATOS SANITARIOS EN EL PALACIO DE JUSTICIA DE EL BORDO</t>
  </si>
  <si>
    <t>CONTRATAR LA ADQUISICIÓN DE ELEMENTOS DE PROTECCIÓN PERSONAL PARA LA PREVENCIÓN DE LA PROPAGACIÓN DEL VIRUS COVID 19 - TAPABOCAS DOBLETELA REUTILIZABLES.</t>
  </si>
  <si>
    <t>M.A.S EMPRESARIAL SM S.A.S</t>
  </si>
  <si>
    <t>TAPABOCAS DOBLETELA REUTILIZABLES</t>
  </si>
  <si>
    <t>CONTRATAR LA ADQUISICIÓN DE ELEMENTOS DE PROTECCIÓN PERSONAL PARA LA PREVENCIÓN DE LA PROPAGACIÓN DEL VIRUS COVID 19. GUANTES DE NITRILO</t>
  </si>
  <si>
    <t>OFIBEST SAS</t>
  </si>
  <si>
    <t>CONTRATAR LA ADQUISICIÓN DE ELEMENTOS DE PROTECCIÓN PERSONAL PARA LA PREVENCIÓN DE LA PROPAGACIÓN DEL VIRUS COVID 19. JABON PARA MANOS</t>
  </si>
  <si>
    <t>CONTRATAR LA ADQUISICIÓN DE ELEMENTOS DE PROTECCIÓN PERSONAL PARA LA PREVENCIÓN DE LA PROPAGACIÓN DEL VIRUS COVID 19 (GEL ANTIBACTERIAL).</t>
  </si>
  <si>
    <t>TENSOACTIVOS SG SAS</t>
  </si>
  <si>
    <t>CONTRATAR LA ADQUISICIÓN DE ELEMENTOS DE PROTECCIÓN PERSONAL PARA LA PREVENCIÓN DE LA PROPAGACIÓN DEL VIRUS COVID 19 (TOALLAS PARA MANOS).</t>
  </si>
  <si>
    <t>ADQUISICIÓN DE ELEMENTOS DE PROTECCIÓN PERSONAL PARA LA PREVENCIÓN DE LA PROPAGACIÓN DEL VIRUS COVID 19 - TERMOMETROS DIGITALES</t>
  </si>
  <si>
    <t>CONTRATAR LA ADQUISICIÓN DE ELEMENTOS DE PROTECCIÓN PERSONAL PARA LA PREVENCIÓN PROPAGACIÓN DEL VIRUS COVID 19 - DISPENSADORES DE GEL</t>
  </si>
  <si>
    <t>DISPENSADORES DE GEL</t>
  </si>
  <si>
    <t>LAVAMANOS PORTATILES</t>
  </si>
  <si>
    <t>CONTRATAR LA ADQUISICIÓN DE ELEMENTOS DE PROTECCIÓN PERSONAL PARA LA PREVENCIÓN DE LA PROPAGACIÓN DEL VIRUS COVID 19 CON RECURSOS DE INVERSIÓN ASIGNADOS MEDIANTE ACUERDO PCSJA20-11564 DEL 04 DE JUNIO DE 2020 (TAPABOCAS DOBLE TELA LAVABLE).</t>
  </si>
  <si>
    <t>BON SANTE SAS</t>
  </si>
  <si>
    <t>SANTA MARTA</t>
  </si>
  <si>
    <t xml:space="preserve">PRESTAR EL SERVICIO DE ASEO INTEGRAL EN LAS OFICINAS ADMINISTRATIVAS Y DESPACHOS JUDICIALES </t>
  </si>
  <si>
    <t>ASEAR S.A E.S.P</t>
  </si>
  <si>
    <t>GUANTES DE NITRILO CAJA X 50</t>
  </si>
  <si>
    <t xml:space="preserve">
TOALLA PAPEL RESIST. Y ABSORB X50
</t>
  </si>
  <si>
    <t xml:space="preserve">
GEL ANTIBACTERIAL X LITRO
</t>
  </si>
  <si>
    <t>TAPABOCA DESECHABLE</t>
  </si>
  <si>
    <t xml:space="preserve">
TAPABOCA TELA ANTIFLUIDO
</t>
  </si>
  <si>
    <t xml:space="preserve">
MONOGAFAS DE PROTECCIÓN
</t>
  </si>
  <si>
    <t>DESINFECTANTE X LITRO</t>
  </si>
  <si>
    <t xml:space="preserve">
DOSIFICADORES DE PUSH X 500 ML
</t>
  </si>
  <si>
    <t xml:space="preserve">
ATOMIZADORES X 500 ML
</t>
  </si>
  <si>
    <t xml:space="preserve">
ENVASE DE PUSH  X LITRO
</t>
  </si>
  <si>
    <t>ENVASE ATOMIZADOR X LITRO</t>
  </si>
  <si>
    <t xml:space="preserve">
TRAJE BIOSEGURIDAD REUTILIZABLE X 3 VECES
</t>
  </si>
  <si>
    <t>JABON LIQUIDO X LITRO</t>
  </si>
  <si>
    <t xml:space="preserve">CARETAS DE PROTECCIÓN </t>
  </si>
  <si>
    <t>SINCELEJO</t>
  </si>
  <si>
    <t>CD 03 DE 2020</t>
  </si>
  <si>
    <t>COMPRAVENTA DE INSUMOS PARA ATENDER EMERGENCIA SANITARIA OCASIONADA POR EL COVID-19 EN LAS SEDES JUDICIALES DEL DEPARTAMENTO DE SUCRE</t>
  </si>
  <si>
    <t>ARMANDO MARTIN NIETO CASTAÑO</t>
  </si>
  <si>
    <t>TRAJE ENTERO ANTIFLUIDO</t>
  </si>
  <si>
    <t>TAPABOCAS DESECHABLES EN PAQUETES INDIVIDUALES</t>
  </si>
  <si>
    <t>ADICION CD 03 DE 2020</t>
  </si>
  <si>
    <t>CD 05 DE 2020</t>
  </si>
  <si>
    <t>COMPRA Y ALQUILER DE COMPUTADORES PORTATILES PARA ATENDER AUDIENCIAS VIRTUALES EN EL CONTEXTO DE LA EMERGENCIA SANITARIA</t>
  </si>
  <si>
    <t>LEONARDO FABIO PERALTA VILLEGAS</t>
  </si>
  <si>
    <t>ALQUILER DE 10 COMPUTADORES PORTATILES X 2 MESES</t>
  </si>
  <si>
    <t>CD 06 DE 2020</t>
  </si>
  <si>
    <t>ALFA SUPPLIES SAS</t>
  </si>
  <si>
    <t>GAFAS PROTECTORAS TRANSPARENTES DE SEGURIDAD</t>
  </si>
  <si>
    <t>MASCARILLAS BLANCAS TERMOSELLADAS (TAPABOCAS)</t>
  </si>
  <si>
    <t>CD 07 DE 2020</t>
  </si>
  <si>
    <t>CONSULTORIA PARA LA ASESORÍA, DISEÑO Y CERTIFICACIÓN DE LA IMPLEMENTACIÓN DEL PROTOCOLO DE ACCESO A SEDES, ESTABLECIDO POR LA DEAJ A TRAVÉS DE LA CIRCULAR DEAJC20-35 DE 5 DE MAYO DE 2020, EN LAS SEDES JUDICIALES DEL DEPARTAMENTO DE SUCRE</t>
  </si>
  <si>
    <t>ALICIA MARÍA GÁMEZ CAUSIL</t>
  </si>
  <si>
    <t>ASESORIA, DISEÑO Y CERTIF. PROTOCOLOS DE BIOSEGURIDAD</t>
  </si>
  <si>
    <t>CONSULTORIA</t>
  </si>
  <si>
    <t>CD 08 DE 2020</t>
  </si>
  <si>
    <t>ADQUISICIÓN DE TAPETES DE DESINFECCIÓN Y SU SANITIZANTE, PARA TODAS LAS SEDES JUDICIALES DEL DEPARTAMENTO DE SUCRE, EN VIRTUD DE MITIGAR EL RIESGO DE CONTAGIO CON EL COVID-19</t>
  </si>
  <si>
    <t>COMERCIALIZADORA DA VINCI S.A.S</t>
  </si>
  <si>
    <t>KIT DESINF.TAPETE: 1 TAPETE DESINF. LIQ Y 1 ATRAPA HUMEDAD .55 X .55 MAS SANITIZANTE POR 4,5 LTS</t>
  </si>
  <si>
    <t>KIT DESINF.TAPETE: 1 TAPETE DESINF. LIQ Y 1 ATRAPA HUMEDAD 1,00 X .65 MAS SANITIZANTE POR 4,5 LTS</t>
  </si>
  <si>
    <t>CD 09 DE 2020</t>
  </si>
  <si>
    <t>SERVICIO DE IMPRESIÓN DE AVISOS INFORMATIVOS Y SEÑALIZACIONES, RELACIONADAS CON MEDIDAS PREVENTIVAS CONTRA EL COVID-19, PARA SER INSTALADAS EN TODAS LAS SEDES JUDICIALES DEL DEPARTAMENTO DE SUCRE</t>
  </si>
  <si>
    <t xml:space="preserve">ERNESTO BELTRAN BELTRÁN </t>
  </si>
  <si>
    <t>IMPRESIÓN KITS SEÑALIZACION BIOSEGURIDAD</t>
  </si>
  <si>
    <t>CD 010-2020</t>
  </si>
  <si>
    <t>ADQUISICIÓN DE DISPENSADORES DE PEDAL PARA SUMINISTRO DE GEL ANTIBACTERIAL EN LAS ZONAS COMUNES DE LAS SEDES JUDICIALES DEL DEPARTAMENTO DEL SUCRE COMO MEDIDA DE PREVENCIÓN DE CONTAGIO CON COVID-19</t>
  </si>
  <si>
    <t>TULIA TERESA OÑATE MONTERO</t>
  </si>
  <si>
    <t>DISPENSADOR DE PEDAL PARA GEL ACERO INOXIDABLE</t>
  </si>
  <si>
    <t>CD 12 DE 2020</t>
  </si>
  <si>
    <t>ADQUISICIÓN E INSTALACIÓN DE LAVAMANOS EN ACERO INOXIDABLE PARA FORTALECER LAS MEDIDAS DE PREVENCIÓN DE CONTAGIO CON COVID-19</t>
  </si>
  <si>
    <t>CARLOS ARTURO HERNANDEZ MARTINEZ</t>
  </si>
  <si>
    <t xml:space="preserve">LAVAMANOS EN ACERO INOXIDABLE C. 20 CON CONEXIÓN EXTERNA HIDRAULICA Y SANITARIA </t>
  </si>
  <si>
    <t>ADICION CD 07 DE 2020</t>
  </si>
  <si>
    <t>CD 13 DE 2020</t>
  </si>
  <si>
    <t>ADQUISICIÓN DE MATERIALES PARA DEMARCACIÓN DE ÁREAS DE DISTANCIAMIENTO SOCIAL, CON EL OBJETIVO DE FORTALECER LAS MEDIDAS DE PREVENCIÓN DE CONTAGIO CON COVID-19 EN TODAS LAS SEDES JUDICIALES DEL DEPARTAMENTO DE SUCRE.</t>
  </si>
  <si>
    <t>REINALDO ENRIQUE HERNANDEZ GOMEZ</t>
  </si>
  <si>
    <t>PINTURA TRÁFICO COLOR AMARILLO</t>
  </si>
  <si>
    <t>CINTA DE PELIGRO X 500 MTS</t>
  </si>
  <si>
    <t>CINTA ANTIDESLIZANTE X 5 MTS</t>
  </si>
  <si>
    <t>CD 14 DE 2020</t>
  </si>
  <si>
    <t>ADQUISICIÓN DE CÁMARAS WEB, MINI-PARLANTES Y LECTORES DE CÓDIGO DE BARRAS Y QR PARA COMPUTADORES, EN VIRTUD DE FORTALECER LAS HERRAMIENTAS TECNOLÓGICAS PARA LA PRESTACIÓN DEL SERVICIO DE JUSTICIA EN MEDIO DE LA EMERGENCIA SANITARIA OCASIONADA POR EL COVID-19</t>
  </si>
  <si>
    <t>CREAR DE COLOMBIA S.A.S.</t>
  </si>
  <si>
    <t xml:space="preserve">WEBCAM - HDR, Campo visual ajustable, Enfoque automático, Zoom digital, Gran panorámica, Micrófono omnidireccional, Sensor de infrarrojo, Clip universal, Lente de cristal
</t>
  </si>
  <si>
    <t xml:space="preserve">MINI PARLANTES - Salida RMS de 1.5 vatios, Potencia de 3 vatios, Energía suministrada por puerto USB del pc, Control de volumen
</t>
  </si>
  <si>
    <t>PARLANTES</t>
  </si>
  <si>
    <t>LECTORA CODIGO DE BARRAS Y QR -Tipo imagen lineal, Lectura de códigos 1D/2D, Conexión USB o inalámbrica, Disparador manual o  automático.
(control de acceso sedes judiciales con el programa ENKI)</t>
  </si>
  <si>
    <t>LECTORA CODIGO DE BARRAS</t>
  </si>
  <si>
    <t>OC 49099</t>
  </si>
  <si>
    <t>LA ADQUISICIÓN DE ELEMENTOS DE PROTECCIÓN PERSONAL E INSUMOS DE ASEO PARA PREVENIR LA PROPAGACIÓN DEL CORONAVIRUS COVID-19 EN LAS SEDES JUDICIALES DEL DEPARTAMENTO DE SUCRE</t>
  </si>
  <si>
    <t>CLAUDIA PATRICIA MURILLO</t>
  </si>
  <si>
    <t>OC 49117</t>
  </si>
  <si>
    <t>OC 49291</t>
  </si>
  <si>
    <t>DIGILED TECHNOLOGY S.A.S</t>
  </si>
  <si>
    <t>DESINFECTANTE A BASE DE CLORO - HIPOCLORITO GALON (200 galones)</t>
  </si>
  <si>
    <t>OC 49292</t>
  </si>
  <si>
    <t>OC 49884</t>
  </si>
  <si>
    <t>COMPRAVENTA DE INSUMOS PARA ATENDER EMERGENCIA SANITARIA OCASIONADA POR EL COVID-19 EN LAS SEDES JUDICIALES DEL DEPARTAMENTO DE SUCRE.</t>
  </si>
  <si>
    <t>OC 49899</t>
  </si>
  <si>
    <t>OC 50035</t>
  </si>
  <si>
    <t>COMPRAVENTA DE PROTECTORES FACIALES PARA ATENDER EMERGENCIA SANITARIA OCASIONADA POR EL COVID-19 EN LAS SEDES JUDICIALES DEL DEPARTAMENTO DE SUCRE</t>
  </si>
  <si>
    <t>OC 50278</t>
  </si>
  <si>
    <t>ADQUISICIÓN DE TERMÓMETROS INFRARROJOS SIN CONTACTO, PARA SER DISPUESTOS EN LAS SEDES JUDICIALES DEL DEPARTAMENTO DE SUCRE, EN VIRTUD DE MITIGAR EL RIESGO DE CONTAGIO CON EL COVID-19</t>
  </si>
  <si>
    <t>HB INTERNATIONAL CORP SOCIEDAD POR ACCIONES SIMPLIFICADA SAS</t>
  </si>
  <si>
    <t>TERMOMETRO INFRAROJO SIN CONTACTO</t>
  </si>
  <si>
    <t>OC 50303</t>
  </si>
  <si>
    <t>COMPRAVENTA DE CANECAS DE BIOSEGURIDAD PARA LAS SEDES JUDICIALES DEL DEPARTAMENTO DE SUCRE, CON EL FIN DE MITIGAR EL RIESGO DE CONTAGIO DEL COVID-19</t>
  </si>
  <si>
    <t>CANECAS PLASTICAS ROJAS DE PEDAL, TAMAÑO 20 LT</t>
  </si>
  <si>
    <t>OC 50492</t>
  </si>
  <si>
    <t>COMPRAVENTA DE ALCOHOL ISOPROPILICO AL 70% GEL PARA ATENDER EMERGENCIA SANITARIA OCASIONADA POR EL COVID-19 EN LAS SEDES JUDICIALES DEL DEPARTAMENTO DE SUCRE</t>
  </si>
  <si>
    <t>OC 51158</t>
  </si>
  <si>
    <t>COMPRAVENTA DE GUANTES DE NITRILO PARA ATENDER EMERGENCIA SANITARIA OCASIONADA POR EL COVID-19 EN LAS SEDES JUDICIALES DEL DEPARTAMENTO DE SUCRE</t>
  </si>
  <si>
    <t>OC 52370</t>
  </si>
  <si>
    <t>COMPRAVENTA DE ALCOHOL ANTISEPTICO AL 70% PARA ATENDER EMERGENCIA SANITARIA OCASIONADA POR EL COVID-19 EN LAS SEDES JUDICIALES DEL DEPARTAMENTO DE SUCRE</t>
  </si>
  <si>
    <t>COSMETICOS SAMY SA</t>
  </si>
  <si>
    <t>TUNJA</t>
  </si>
  <si>
    <t xml:space="preserve">007 de 2020 </t>
  </si>
  <si>
    <t xml:space="preserve">COMPRA DE TRAJES BIOMEDICOS Y GEL ANTIBACTERIAL </t>
  </si>
  <si>
    <t>TRAJES BIOMEDICOS CONTRA SALPICADIRAS Y PARTICULAS</t>
  </si>
  <si>
    <t xml:space="preserve">009 de 2020 </t>
  </si>
  <si>
    <t xml:space="preserve">COMPRA DE GUANTES Y GEL ANTIBACTERIAL </t>
  </si>
  <si>
    <t xml:space="preserve">FUNDACION GENERACIONES DE PAZ </t>
  </si>
  <si>
    <t>DISPENSADORES PLASTICOS CON GEL, EN PRESENTACION POR 500 MILILITROS</t>
  </si>
  <si>
    <t xml:space="preserve">016 de 2020 </t>
  </si>
  <si>
    <t xml:space="preserve">COMPRA DE ALCOHOL ETÍLICO </t>
  </si>
  <si>
    <t xml:space="preserve">CONSORCIO LIDER 2019 </t>
  </si>
  <si>
    <t xml:space="preserve">020 de 2020 </t>
  </si>
  <si>
    <t>COMPRA DE 1254 PAQUETES DE TOALLAS DE PAPEL DESECHABLES POR 150 UNIDADES</t>
  </si>
  <si>
    <t xml:space="preserve">INSMEVET S de C. </t>
  </si>
  <si>
    <t>TOALLAS DE PAPEL DESECHABLES PARA MANOS EN PRESENTACION DE PAQUETE POR 150 UNIDADES</t>
  </si>
  <si>
    <t xml:space="preserve">024 de 2020 </t>
  </si>
  <si>
    <t>COMPRA DE 4000 MASCARILLAS DE TELA LAVABLES</t>
  </si>
  <si>
    <t>COMERCILIZADORA ARTURO CALLE S.A.S</t>
  </si>
  <si>
    <t>MASCARILLA DE TELA LAVABLE HASTA 60 LAVADAS</t>
  </si>
  <si>
    <t xml:space="preserve">025 de 2020 </t>
  </si>
  <si>
    <t>COMPRA DE 14 TERMOMETROS DIGITALES</t>
  </si>
  <si>
    <t>INTEGRATE SOLUCIONES DE ELECTRONICA Y SOFTWARE SAS</t>
  </si>
  <si>
    <t>TERMOMETRO INFRAROJO PARA MEDICION DE TEMPERATURA CORPORAL DE MAYOR SENSIBILIDAD ENTRE 5 Y 15 CENTIMETRO, PARA EVITAR EL CONTACTO ESTRECHO, MEDICION DE TEMPERATURA SOBRE SUPERFICIES</t>
  </si>
  <si>
    <t>CARGADOR Y BATERIAS RECARGABLES CON DURACION DE 1000 CICLOS, APROXIMADAMENTE 3 AÑOS</t>
  </si>
  <si>
    <t xml:space="preserve">029 de 2020 </t>
  </si>
  <si>
    <t>COMPRA DE CIENTO VEINTE (120) BOTELLAS DE 750 ML Y OCHENTA (80) GALONES DE 3750 ML DE ALCOHOL ETÍLICO AL 70%</t>
  </si>
  <si>
    <t xml:space="preserve">032 de 2020 </t>
  </si>
  <si>
    <t>LA COMPRA DE CIENTO SESENTA Y TRES (163) CAJAS DE GUANTES DE NITRILO, POR 100 UNIDADES CADA UNA</t>
  </si>
  <si>
    <t xml:space="preserve">ADRIAN SUAREZ GARCIA </t>
  </si>
  <si>
    <t>GUANTES DE NITRILO EN PRESENTACION DE CAJA POR 100 UNIDADES</t>
  </si>
  <si>
    <t xml:space="preserve">033  de 2020 </t>
  </si>
  <si>
    <t>LA COMPRA DE QUINCE (15) DISPENSADORES DE PEDAL EN ACERO INOXIDABLE</t>
  </si>
  <si>
    <t>ACCEVID S.A.S</t>
  </si>
  <si>
    <t>DISPENSADOR PARA GEL DE PEDAL EN ACERO ACERO INOXIDABLE PARA EMPOTRAR A LA PARED</t>
  </si>
  <si>
    <t xml:space="preserve">034  de 2020 </t>
  </si>
  <si>
    <t xml:space="preserve">LA COMPRA DE JABON ANTIBACTERIAL </t>
  </si>
  <si>
    <t xml:space="preserve">035  de 2020 </t>
  </si>
  <si>
    <t>LA COMPRA DE MIL SEISCIENTAS (1600) CARETAS VISOR</t>
  </si>
  <si>
    <t>CARETAS VISORES - PROTECTOR FACIAL</t>
  </si>
  <si>
    <t>037 de 2020</t>
  </si>
  <si>
    <t>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t>
  </si>
  <si>
    <t>SANDRA MILENA BARRERA SALAMANCA</t>
  </si>
  <si>
    <t>038 de 2020</t>
  </si>
  <si>
    <t>LISETH JOHANNA SIERRA LOPEZ</t>
  </si>
  <si>
    <t>039 de 2020</t>
  </si>
  <si>
    <t xml:space="preserve">DAYANA FERNANDA CORREA SUESCUN </t>
  </si>
  <si>
    <t>040 de 2020</t>
  </si>
  <si>
    <t>ELIANA VIRGINIA SIERRA ORTEGON</t>
  </si>
  <si>
    <t>041 de 2020</t>
  </si>
  <si>
    <t>LUISA LILIANA PIAMONTE PULIDO</t>
  </si>
  <si>
    <t>042 de 2020</t>
  </si>
  <si>
    <t>LUISA FERNANDA GUIO DE LA FUENTE</t>
  </si>
  <si>
    <t>043 de 2020</t>
  </si>
  <si>
    <t>PAULA ANDREA MARTINEZ SANDOVAL</t>
  </si>
  <si>
    <t>044 de 2020</t>
  </si>
  <si>
    <t>ANA MIREYA GALLO FUENTES</t>
  </si>
  <si>
    <t>045 de 2020</t>
  </si>
  <si>
    <t>GENNY LIZETH ESPINOSA SAENZ</t>
  </si>
  <si>
    <t>050 de 2020</t>
  </si>
  <si>
    <t>DORA MERCEDES DAZA CORDOBA</t>
  </si>
  <si>
    <t>VALLEDUPAR</t>
  </si>
  <si>
    <t xml:space="preserve">CONTRATAR EN NOMBRE DE LA NACIÓN-CONSEJO SUPERIOR DE LA JUDICATURA - DIRECCIÓN EJECUTIVA SECCIONAL DE ADMINISTRACIÓN JUDICIAL DE VALLEDUPAR- LA ADQUISICIÓN DE TRAJES DE BIOSEGURIDAD PARA LA PREVENCIÓN DEL CONTAGIO DEL CORONAVIRUS COVID-19 </t>
  </si>
  <si>
    <t xml:space="preserve">TECHNICAL SOLUTIONS SAFETY S.A.S. </t>
  </si>
  <si>
    <t>TRAJE DE BIOSEGURIDAD: EN DISEÑO DE OVEROL CON
CAPUCHA, COLOR BLANCO. ELABORADO EN MATERIAL
POLIETILENO Y POLIPROPILENO, PERMEABLE, RESISTENTE A TODO
TIPO DE FLUIDOS.</t>
  </si>
  <si>
    <t>CONTRATAR EN NOMBRE DE LA NACIÓN - CONSEJO SUPERIOR DE LA JUDICATURA- DIRECCIÓN EJECUTIVA SECCIONAL DE ADMINISTRACIÓN JUDICIAL DE VALLEDUPAR, LA ADQUISICIÓN DE TAPA BOCAS DESECHABLES PARA LA PREVENCIÓN DEL CONTAGIO DEL CORONAVIRUS COVID-19</t>
  </si>
  <si>
    <t>SERVICIO DE REHABILITACIÓN &amp; SALUD OCUPACIONAL SAS – SERFIS SAS</t>
  </si>
  <si>
    <t>CONTRATAR EN NOMBRE DE LA NACIÓN - CONSEJO SUPERIOR DE LA JUDICATURA - DIRECCIÓN EJECUTIVA SECCIONAL DE ADMINISTRACIÓN JUDICIAL DE VALLEDUPAR, LA COMPRA DE GUANTES DESECHABLES PARA LA PREVENCIÓN DEL CONTAGIO DEL CORONAVIRUS COVID-19</t>
  </si>
  <si>
    <t>DISTRIBUIDORA MATERIAL DENTAL EL MOLAR Y/O GILMA RODRIGUEZ LÓPEZ</t>
  </si>
  <si>
    <t>GUANTES DESECHABLES DE LATEX AMBIDIESTROS, TALLA M</t>
  </si>
  <si>
    <t>CONTRATAR EN NOMBRE DE LA NACIÓN - CONSEJO SUPERIOR DE LA JUDICATURA - DIRECCIÓN EJECUTIVA SECCIONAL DE ADMINISTRACIÓN JUDICIAL DE VALLEDUPAR, LA COMPRA DE ALCOHOL ANTISEPTICO PARA LA PREVENCIÓN DEL CONTAGIO DEL CORONAVIRUS COVID-19</t>
  </si>
  <si>
    <t>GRUPO GAOS S.A.S</t>
  </si>
  <si>
    <t>ALCOHOL AL 70% ANTISÉPTICO PARA LA PREVENCIÓN DEL CONTAGIO DEL CORONAVIRUS COVID-19. !80 LITROS PARA LA SECCIONAL VALLEDUPAR Y 120 LITROS PARA LA OFICINA DE COORDINACIÓN ADMINISTRATIVA DE RIOHACHA( LA FUENTE DE INFORMACIÓN EL FORMATO DE ESTUDIOS PREVIOS)</t>
  </si>
  <si>
    <t>O.C. 47925</t>
  </si>
  <si>
    <t>ADQUISICIÓN DE ELEMENTOS DE ASEO (TOALLAS Y JABÓN PARA MANOS) PARA PREVENIR LA PROPAGACIÓN DEL COVID-19 EN EL DEPARTAMENTO DEL CESAR Y DEPARTAMENTO DE LA GUAJIRA</t>
  </si>
  <si>
    <t xml:space="preserve">TOALLAS PARA MANOS 4 CODIGO PA 60, (PAQUETE MÍNIMO DE 50 UNIDADES), DISTRIBUIDAS ASI: 850 PARA LA SECCIONAL VALLEDUPAR Y 460 PARA COORDINACIÓN ADMINISTRATIVA DE RIOHACHA.
</t>
  </si>
  <si>
    <t>O.C. 47926</t>
  </si>
  <si>
    <t>ADQUISICIÓN DE ELEMENTOS DE ASEO (GEL ANTIBACTERIAL) PARA PREVENIR LA PROPAGACIÓN DEL COVID-19 EN EL DEPARTAMENTO DEL CESAR Y DEPARTAMENTO DE LA GUAJIRA</t>
  </si>
  <si>
    <t>FABIAN PEREZ</t>
  </si>
  <si>
    <t>O.C. 48153</t>
  </si>
  <si>
    <t xml:space="preserve">COMPRA TAPA BOCAS DESECHABLES PARA PREVENIR LA PROPAGACIÓN DEL COVID-19 EN EL DEPARTAMENTO DEL CESAR </t>
  </si>
  <si>
    <t>O.C. 48437</t>
  </si>
  <si>
    <t>COMPRA TAPA BOCAS DESECHABLES PARA PREVENIR LA PROPAGACIÓN DEL COVID-19 EN EL DEPARTAMENTO DEL CESAR Y DEPARTAMENTO DE LA GUAJIRA</t>
  </si>
  <si>
    <t xml:space="preserve">TAPABOCAS DESECHABLE, CON RESORTE A LA OREJA , DOBLE FILTRO, ADAPTADOR NASAL AJUSTABLE, EN ALGODÓN.CANTIDAD DISTRIBUIDA ASÍ: VALLEDUPAR 500 CAJAS Y RIOHACHA  250 CAJAS </t>
  </si>
  <si>
    <t>O.C. 48445</t>
  </si>
  <si>
    <t>ADQUISICION DE ELEMENTOS DE ASEO (DESINFECTANTE A BASE DE CLORO) PARA PREVENIR LA PROPAGACIÓN DEL COVID-19 EN EL DEPARTAMENTO DEL CESAR Y DEPARTAMENTO DE LA GUAJIRA</t>
  </si>
  <si>
    <t>O.C. 48447</t>
  </si>
  <si>
    <t xml:space="preserve">ADQUISICIÓN DE ELEMENTOS DE ASEO (GEL ANTIBACTERIAL) PARA PREVENIR LA PROPAGACIÓN DEL COVID-19 EN EL DEPARTAMENTO DEL CESAR </t>
  </si>
  <si>
    <t>O.C. 48448</t>
  </si>
  <si>
    <t xml:space="preserve">ADQUISICIÓN DE ELEMENTOS DE ASEO (JABÓN DISPENSADOR PARA MANOS) PARA PREVENIR LA PROPAGACIÓN DEL COVID-19 EN EL DEPARTAMENTO DEL CESAR </t>
  </si>
  <si>
    <t>PAPER BOX SAS</t>
  </si>
  <si>
    <t>CONTRATAR EN NOMBRE DE LA NACIÓN -CONSEJO SUPERIOR DE LA JUDICATURA- DIRECCIÓN EJECUTIVA SECCIONAL DE ADMINISTRACIÓN JUDICIAL DE VALLEDUPAR LA COMPRA DE TERMÓMETROS Y OTROS ELEMENTOS PARA LA CONTENCIÓN DE LA PANDEMIA PRODUCIDA POR EL CORONAVIRUS COVID-19</t>
  </si>
  <si>
    <t>NESTOR JAVIER GÓMEZ FRAGOZO y/o SISTEMAS INTELIGENTES</t>
  </si>
  <si>
    <t xml:space="preserve">TERMÓMETROS INFRAROJO PARA  SECCIONAL DE VALLEDUPAR Y RIOHACHA </t>
  </si>
  <si>
    <t xml:space="preserve"> 57 CINTAS ADHESIVAS PARA LA SECCIONAL VALLEDUPAR Y LA COORDINACIÓN ADMINISTRATIVA DE RIOHACHA  48 MM 33 METROS LARGO</t>
  </si>
  <si>
    <t>O.C. 50427</t>
  </si>
  <si>
    <t xml:space="preserve">CONTRATAR LA ADQUISICIÓN DE CARETAS DE PROTECCIÓN PARA PREVENIR LA PROPAGACIÓN DEL COVID-19. </t>
  </si>
  <si>
    <t xml:space="preserve">PLASTICOS FENIX SAS </t>
  </si>
  <si>
    <t xml:space="preserve"> CARETAS VISORES (PROTECTOR FACIAL) - EPP-9 PARA SECCIONAL VALLEDUPAR Y COORDINACIÓN ADMINISTRATIVA DE RIOHACHA</t>
  </si>
  <si>
    <t xml:space="preserve">CONTRATAR  LA PRESTACIÓN DE SERVICIO DE APOYO A LA GESTIÓN PARA   ORIENTAR, VELAR Y HACER SEGUIMIENTO AL CUMPLIMIENTO DE LOS PROTOCOLOS DE BIOSEGURIDAD ESTABLECIDAS Y ASÍ MISMO, FORTALECER LAS MEDIDAS DE PREVENCIÓN DEL CONTAGIO Y PROPAGACIÓN DEL COVID – 19. </t>
  </si>
  <si>
    <t xml:space="preserve">SERVICIOS ESPECIALES PARA EMPRESAS S.A.S  (SESPEM) R/L JOSE ALBERTO HERAZO MOLINA </t>
  </si>
  <si>
    <t>O.C. 51437</t>
  </si>
  <si>
    <t>CANECAS 35 LT PEDAL</t>
  </si>
  <si>
    <t>O.C. 51556</t>
  </si>
  <si>
    <t xml:space="preserve">COLOMBIANA DE COMERCIO S.A Y/O ALKOSTO S.A </t>
  </si>
  <si>
    <t>DISPENSADOR DE TOALLAS EN ACERO INOXIDABLE</t>
  </si>
  <si>
    <t>ATOMIZADORES 600 ml</t>
  </si>
  <si>
    <t>VILLAVICENCIO</t>
  </si>
  <si>
    <t>CO1.PCCNTR.1467008</t>
  </si>
  <si>
    <t>ADQUISICIÓN DE INSUMOS DE DESINFECCIÓN PARA ATENDER LA EMERGENCIA SANITARIA OCASIONADA POR EL COVID-19, CON DESTINO A LOS SERVIDORES JUDICIALES DEL DISTRITO JUDICIAL DE VILLAVICENCIO.</t>
  </si>
  <si>
    <t>SOLUCIONES CLEAN COLOMBIA S.A.S</t>
  </si>
  <si>
    <t>GEL ANTIBACTERIAL X 1000 MILILITROS</t>
  </si>
  <si>
    <t>ENVASE CON TAPA AZUL PUHS DE 250 MILILITROS</t>
  </si>
  <si>
    <t>CO1.PCCNTR.1472202</t>
  </si>
  <si>
    <t>ADQUISICIÒN DE TRAJES DE PROTECCIÒN CORPORAL Y GAFAS DE PROTECCIÒN.</t>
  </si>
  <si>
    <t>DISTRIDOTAR S.A.S</t>
  </si>
  <si>
    <t>TRAJES PROTECTORES DE ALTA DENSIDAD, TALLAS SURTIDAS</t>
  </si>
  <si>
    <t>GAFA PROTECTORA H019 CLARA</t>
  </si>
  <si>
    <t>CO1.PCCNTR.1518075</t>
  </si>
  <si>
    <t>ADQUISICIÓN DE TAPABOCAS</t>
  </si>
  <si>
    <t>COOESTATAL</t>
  </si>
  <si>
    <t>O.C. 48432</t>
  </si>
  <si>
    <t xml:space="preserve"> LA ADQUISICIÓN DE ELEMENTOS DE PROTECCIÓN PERSONAL EPP Y ELEMENTOS DE ASEO PARA LOS SERVIDORES JUDICIALES DE LOS DISTRITOS JUDICIALES DE VILLAVICENCIO. EN LAS CARACTERÍSTICAS TÉCNICAS Y DE CALIDAD REQUERIDAS POR LA ENTIDAD.</t>
  </si>
  <si>
    <t>GEL ANTIBACTERIAL - FRASCO DE LITRO- PA18</t>
  </si>
  <si>
    <t>TOALLAS PARA MANOS  3- UNIDAD -PA 59</t>
  </si>
  <si>
    <t>O.C.48430</t>
  </si>
  <si>
    <t>M.A.S EMPRESARIAL SM SAS</t>
  </si>
  <si>
    <t>TAPABOCAS DOBLE TELA  LAVABLE -EPP-31 - CAJA POR 100 UNIDADES</t>
  </si>
  <si>
    <t>O.C. 48839</t>
  </si>
  <si>
    <t>LA ADQUISICIÓN DE ELEMENTOS DE PROTECCIÓN PERSONAL EPP - GUANTES PARA LOS SERVIDORES JUDICIALES DE LOS DISTRITOS JUDICIALES DE VILLAVICENCIO. EN LAS CARACTERÍSTICAS TÉCNICAS Y DE CALIDAD REQUERIDAS POR LA ENTIDAD</t>
  </si>
  <si>
    <t>OBIFEST S.A.S</t>
  </si>
  <si>
    <t>GUANTES DE NITRILO, CAJA POR 100 UNIDADES</t>
  </si>
  <si>
    <t>O.C. 48792</t>
  </si>
  <si>
    <t>LA ADQUISICIÓN DE BAYETILLAS PARA AYUDAR A LA CONTENCIÓN DEL COVID 19, CON DESTINO A LOS SERVIDORES JUDICIALES DE LOS DISTRITOS JUDICIALES DE VILLAVICENCIO. EN LAS CARACTERÍSTICAS TÉCNICAS Y DE CALIDAD REQUERIDAS POR LA ENTIDAD</t>
  </si>
  <si>
    <t>PANAMERICA LIBRERÍA Y PAPELERIA  S.A</t>
  </si>
  <si>
    <t>BAYETILLA ROJA 35 X 50 CMS</t>
  </si>
  <si>
    <t>BAYETILLA BLANCA 35 X 50 CMS</t>
  </si>
  <si>
    <t>CO1.PCCNTR. 1610602</t>
  </si>
  <si>
    <t>LA ADQUISICIÓN DE TERMÓMETROS INFRARROJOS Y DISPENSADORES EN GEL PARA LA CONTENCIÓN DEL COVID 19, CON DESTINO A LOS SERVIDORES JUDICIALES DEL DISTRITO JUDICIAL DE VILLAVICENCIO. EN LAS CARACTERÍSTICAS TÉCNICAS Y DE CALIDAD REQUERIDAS POR LA ENTIDAD</t>
  </si>
  <si>
    <t>ELECTROMUSICAL DEL LLANO SAS</t>
  </si>
  <si>
    <t>CO1.PCCNTR. 1610702</t>
  </si>
  <si>
    <t xml:space="preserve">ANALYTICA SAS </t>
  </si>
  <si>
    <t>TERMÓMETRO INFRAROJO</t>
  </si>
  <si>
    <t>O.C. 50837</t>
  </si>
  <si>
    <t>LA ADQUISICIÓN DE CANECAS ESPECIALES, CINTA</t>
  </si>
  <si>
    <t>ROLLOS DE CINTA DOBLE FASE GRANDE</t>
  </si>
  <si>
    <t>ROLLO X 50 MTS</t>
  </si>
  <si>
    <t>CANECA 35 LITROS ROJA TAPA PEDAL</t>
  </si>
  <si>
    <t>O.C. 50838</t>
  </si>
  <si>
    <t>ADHESIVA, BOLSAS PLÁSTICAS Y CINTA DE SEÑALIZACIÓN PARA AYUDAR A LA CONTENCIÓN DEL COVID-19, CON</t>
  </si>
  <si>
    <t>ROLLO X 500 MTS</t>
  </si>
  <si>
    <t>O.C. 51024</t>
  </si>
  <si>
    <t>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t>
  </si>
  <si>
    <t>ALCOHOL  FRASCO COV01-PA-1 -</t>
  </si>
  <si>
    <t>O.C. 51025</t>
  </si>
  <si>
    <t>AVANZA INTERNATIONAL GROUP</t>
  </si>
  <si>
    <t xml:space="preserve">CARETAS VISORES (PROTECTOR FACIAL) </t>
  </si>
  <si>
    <t>O.C. 51026</t>
  </si>
  <si>
    <t>O.C. 50978</t>
  </si>
  <si>
    <t>LA ADQUISICIÓN DE ELEMENTOS DE PROTECCIÓN PARA AYUDAR A LA CONTENCIÓN DEL COVID 19 A TRAVÉS DEL INSTRUMENTO DE AGREGACION DE DEMADA COVDID 19, CON DESTINO A LOS SERVIDORES JUDICIALES DEL DISTRITO JUDICIAL DE VILLAVICENCIO. EN LAS CARACTERÍSTICAS TÉCNICAS Y DE CALIDAD REQUERIDAS POR LA ENTIDAD.</t>
  </si>
  <si>
    <t>TABABOCAS DESECHABLES</t>
  </si>
  <si>
    <t>O.C. 52442</t>
  </si>
  <si>
    <t>ADQUISICIÓN DE CARETAS O VISORES PET, EN LAS CONDICIONES TÉCNICAS, DE CALIDAD Y CANTIDADES REQUERIDAS POR LA ENTIDAD.</t>
  </si>
  <si>
    <t>ADQUISICIÓN DE GUANTES DE NITRILO, EN LAS CONDICIONES TÉCNICAS, DE CALIDAD Y CANTIDADES REQUERIDAS POR LA ENTIDAD.</t>
  </si>
  <si>
    <t>SUMINISTRO DE CANECAS DE DESECHOS PARA LOS EDIFICIOS A CARGO DE LA DIRECCIÓN SECCIONAL DE ADMINISTRACIÓN JUDICIAL DE CARTAGENA,</t>
  </si>
  <si>
    <t>CONTRATAR EN NOMBRE DE LA NACIÓN — CONSEJO SUPERIOR DE LA JUDICATURA — DIRECCIÓN SECCIONAL DE ADMINISTRACIÓN JUDICIAL DE LLAGUÉ TOLIMA, LA PRESTACIÓN DEL SERVICIO DE VIGÍAS DE LA SALUD PARA LOS PALACIOS DE JUSTICIA DE ESTE DISTRITO JUDICIAL Y EN LAS SEDES ALTERNAS EN LA CIUDAD DE IBAGUÉ, PARA LA PREVENCIÓN DEL CONTAGIO Y PROPAGACIÓN DEL COVID-19</t>
  </si>
  <si>
    <t>SUMINISTRO TRAJES DE BIOSEGURIDAD PERSONAL.</t>
  </si>
  <si>
    <t>SUMINISTRO DE ELEMENTOS DE PROTECCIÓN (GUANTES Y TAPABOCAS)</t>
  </si>
  <si>
    <t>SUMINISTRO TRAJES DE BIOSEGURIDAD PERSONAL CHEMMAX1 (REUTILIZABLE)</t>
  </si>
  <si>
    <t>SUMINISTRO DE INSUMOS DE DESINFECCIÓN PARA LOS SERVIDORES JUDICIALES DEL DISTRITO JUDICIAL (GEL ANTIBACTERIAL Y ALCOHOL)</t>
  </si>
  <si>
    <t>SUMINISTRO DE TAPABOCAS LAVABLES PARA LOS SERVIDORES JUDICIALES DEL DISTRITO JUDICIAL.</t>
  </si>
  <si>
    <t>SERVICIO DE DESINFECCIÓN DE ALGUNAS SEDES JUDICIALES DEL DISTRITO</t>
  </si>
  <si>
    <t>ADQUISICIÓN DE DISPENSADORES DE GEL EN ACERO INXIDABLE, PORTÁTILES Y ACCIONABLES CON EL PIE.</t>
  </si>
  <si>
    <t>SUMINISTRO DE TAPABOCAS DESECHABLES, COMO PREVENCIÓN DEL CONTAGIO CON EL COVID19</t>
  </si>
  <si>
    <t xml:space="preserve">COMPRA DE CANECAS PARA RESIDUOS BIOLÓGICOS PARA LA CONTENCIÓN DEL VIRUS PROVOCADO POR EL COVID-19 EN LAS SEDES JUDICIALES ADSCRITAS A LA DIRECCIÓN EJECUTIVA SECCIONAL DE ADMINISTRACIÓN JUDICIAL DE VALLEDUPAR </t>
  </si>
  <si>
    <t>CONTRATAR LA COMPRA DE DISPENSADORES DE TOALLAS Y ATOMIZADORES PARA LAS SEDES JUDICIALES ADSCRITAS A LA DIRECCIÓN EJECUTIVA SECCIONAL DE ADMINISTRACIÓN JUDICIAL DE VALLEDUPAR, DENTRO DEL MARCO DE LA PANDEMIA PROVOCADA POR EL COVID-19.</t>
  </si>
  <si>
    <t>ADQUISICIÓN DE CARETAS PARA AYUDAR A LA CONTENCIÓN DEL COVID 19, CON DESTINO A LOS SERVIDORES JUDICIALES DEL DISTRITO JUDICIAL DE VILLAVICENCIO. EN LAS CARACTERÍSTICAS TÉCNICAS Y DE CALIDAD REQUERIDAS POR LA ENTIDAD.</t>
  </si>
  <si>
    <t>PEREIRA</t>
  </si>
  <si>
    <t>CD-UM-01-2020</t>
  </si>
  <si>
    <t>CONTRATAR EN NOMBRE DE LA NACIÓN – CONSEJO SUPERIOR DE LA JUDICATURA LA ADQUISICIÓN DE ELEMENTOS DE BIOSEGURIDAD, PARA LOS SERVIDORES JUDICIALES DEL DISTRITO JUDICIAL DE PEREIRA</t>
  </si>
  <si>
    <t>C.I. WARRIORS COMPANY SAS</t>
  </si>
  <si>
    <t>TOALLAS PARA MANOS DESECHABLES PAQUETE X 50</t>
  </si>
  <si>
    <t>DISPENSADOR DE TOALLAS DE MANOS CAPACIDAD DE 150 TOALLAS</t>
  </si>
  <si>
    <t>DISPENSADOR DE JABÓN LIQUIDO ACERO INOXIDABLE</t>
  </si>
  <si>
    <t>ELEMENTO DE BIOSEGURIDAD TRAJE DE PROTECCIÓN PERSONAL</t>
  </si>
  <si>
    <t>ELEMENTO DE BIOSEGURIDAD GUANTE NITILSAFE VERDE 13" 15Mil T 7</t>
  </si>
  <si>
    <t>CD-UM-02-2020</t>
  </si>
  <si>
    <t>CONTRATAR EN NOMBRE DE LA NACIÓN – CONSEJO SUPERIOR DE LA JUDICATURA LA ADQUISICIÓN DE ACCESORIOS TECNOLÓGICOS DE APOYO, PARA LA REALIZACIÓN DE AUDIENCIAS VIRTUALES, MEDIDAS DE PREVENCIÓN Y AISLAMIENTO SOCIAL, PARA PREVENIR EL CONTAGIO DEL VIRUS COVID19 EN EL DISTRITO JUDICIAL DE PEREIRA.</t>
  </si>
  <si>
    <t>LA COMPUTIENDA SAS</t>
  </si>
  <si>
    <t>CÁMARA WEB</t>
  </si>
  <si>
    <t>DIADEMA</t>
  </si>
  <si>
    <t>ALCOHOL USO GENERAL 70% *1000 ML CON ATOMIZADOR VIMACH</t>
  </si>
  <si>
    <t>PAQUETE X 100</t>
  </si>
  <si>
    <t xml:space="preserve"> TOALLAS MANOS DESECHABLES EN Z</t>
  </si>
  <si>
    <t>GUANTES LATEX TALLA L Y M</t>
  </si>
  <si>
    <t>GUANTES NITRILO TALLA M Y L</t>
  </si>
  <si>
    <t>PAR</t>
  </si>
  <si>
    <t xml:space="preserve">TAPABOCAS DOBLE TELA LAVABLE </t>
  </si>
  <si>
    <t xml:space="preserve">TAPABOCAS DESECHABLE </t>
  </si>
  <si>
    <t>TOALLAS DESECHABLES PARA MANOS EN Z</t>
  </si>
  <si>
    <t>ADICION LP 01 DE 2019</t>
  </si>
  <si>
    <t>LA PRESTACIÓN DEL SERVICIO DE VIGILANCIA Y SEGURIDAD PRIVADA, CON DESTINO A LOS DIFERENTES DESPACHOS JUDICIALES Y SEDES ADMINISTRATIVAS A CARGO DE LA DIRECCIÓN EJECUTIVA SECCIONAL DE ADMINISTRACIÓN JUDICIAL DE SINCELEJO</t>
  </si>
  <si>
    <t>VIPERS LTDA</t>
  </si>
  <si>
    <t xml:space="preserve">PRESTACION SERVICIO DE VIGILANCIA CON TOMA DE TEMPERATURA, A TRAVES DE TERMOMETRO INFRARROJO EN 10 PUESTOS DE VIGILANCIA DE LAS DIFERENTES SEDES JUDICIALES DEL DPTO DE SUCRE </t>
  </si>
  <si>
    <t>ADICION LP 02 DE 2019</t>
  </si>
  <si>
    <t>EL SERVICIO DE ASEO Y MANTENIMIENTO BÁSICO, CON INSUMOS Y MAQUINARIA INCLUIDA, LIMPIEZA DE JARDINES Y EQUIPOS PARA LAS SEDES JUDICIALES QUE CONFORMAN EL DISTRITO JUDICIAL DE SINCELEJO</t>
  </si>
  <si>
    <t>DON ASEO LTDA</t>
  </si>
  <si>
    <t>ALCOHOL GLICERINADO AL 92%</t>
  </si>
  <si>
    <t>JABON LIQUIDO ANTIBACTERIAL</t>
  </si>
  <si>
    <t>VINAGRE BLANCO PARA REALIZAR LIMPIEZA DE PISOS</t>
  </si>
  <si>
    <t>VINAGRE</t>
  </si>
  <si>
    <t>BLANQUEADOR DESINFECTANTE LIQUIDO</t>
  </si>
  <si>
    <t>BLANQUEADOR</t>
  </si>
  <si>
    <t>DETERGENTE EN POLVO</t>
  </si>
  <si>
    <t xml:space="preserve">TAPABOCAS DESECHABLES  </t>
  </si>
  <si>
    <t>DESINFECCION - DESRATIZACION PASTOPASTO - EDIFICIO GENOVA   PASTO</t>
  </si>
  <si>
    <t>Contratar la adquisición de Elementos de protección COVID-19 (Monogafas) a través de la Tienda Virtual del Estado Colombiano</t>
  </si>
  <si>
    <t>Contratar a través de la Tienda Virtual del Estado Colombianos, la adquisición de lavamanos portátiles</t>
  </si>
  <si>
    <t>Proceso de contratación de compra de ELEMENTOS DE PROTECCION PERSONAL PARA LA PREVENCIÓN DEL COVID-19 - CARETAS. En cumplimiento de nuestro plan de compras y del Protocolo de acceso a sedes - Medidas complementarias para prevención del contagio del COVID-19 en los servidores judiciales, contratistas de prestación de servicios y judicantes.</t>
  </si>
  <si>
    <t>Contratar el suministro de ELEMENTOS DE PROTECCION PERSONAL PARA LA PREVENCIÓN DEL COVID-19 - Alcohol glicerinado en cumplimiento de nuestro plan de compras y del Protocolo de acceso a sedes - Medidas complementarias para prevención del contagio del COVID-19 en los servidores judiciales, contratistas de prestación de servicios y judicantes.</t>
  </si>
  <si>
    <t>LAVAMANOS</t>
  </si>
  <si>
    <t>TAPABOCA TELA POLYESTER ANTIFLUIDO</t>
  </si>
  <si>
    <t>TAPABOCAS EN TELA QUIRÚRGICA EN TRES CAPAS, FILTRO MEDIO DE 15 GR, FILTRO INTERNO DE 30 GR, SISTEMA DE AJUSTE NASAL RECUBIERTO, ELÁSTICO DELGADO REDONDO.PAQUETE POR 50 UNIDADES</t>
  </si>
  <si>
    <t>PAQUETE X 150</t>
  </si>
  <si>
    <t>TOALLAS PARA MANOS 4 - UNIDAD INTERDOBLADAS - DOBLE HOJA CON UN TAMAÑO MÍNIMO 15 CM DE ANCHO</t>
  </si>
  <si>
    <t>TOALLAS PARA MANOS X 150 UNIDADES</t>
  </si>
  <si>
    <t>VINIPEL</t>
  </si>
  <si>
    <t>VALOR MENSUAL POR PERSONA</t>
  </si>
  <si>
    <t>VIGIAS DE SALUD</t>
  </si>
  <si>
    <t>AREAS PROTEGIDAS</t>
  </si>
  <si>
    <t>VALOR MENSUAL POR EQUIPO</t>
  </si>
  <si>
    <t xml:space="preserve">DIVISIONES / BARRERAS / PUERTAS </t>
  </si>
  <si>
    <t>INTERCOMUNICADOR</t>
  </si>
  <si>
    <t>CINTA SEÑALIZACIÓN PELIGRO ROLLO X500MT</t>
  </si>
  <si>
    <t>SEDE</t>
  </si>
  <si>
    <t>BARRANQUILLA</t>
  </si>
  <si>
    <t>010-2020</t>
  </si>
  <si>
    <t>CONTRATAR EL SUMINISTRO DE ELEMENTOS Y MATERIALES NECESARIOS PARA ATENDER LA URGENCIA MANIFIESTA Y PREVENIR EL CONTAGIO DEL COVID-19.</t>
  </si>
  <si>
    <t>ESTRATEGIAS S.A.S</t>
  </si>
  <si>
    <t xml:space="preserve">BLANQUEADOR MARCA PROPIA HIPOCLORITO 5,25% CUÑETE 5GL </t>
  </si>
  <si>
    <t>GUANTE LATEX SIN POLVO TALLA L (CAJA X 100)</t>
  </si>
  <si>
    <t>GUANTE LATEX SIN POLVO TALLA M (CAJA X 100)</t>
  </si>
  <si>
    <t>TOALLA DE MANOS DOBLADA EN Z HOJA X 150 HOJAS</t>
  </si>
  <si>
    <t>TRAJE KLEENGUARD A35 CONTRA LIQUIDO</t>
  </si>
  <si>
    <t>CONTRATAR LA PRESTACIÓN DEL SERVICIO DE MANTENIMIENTO CORRECTIVO DE LAS TERMINALES DE MEDIA TENSIÓN Y ACOMETIDA PRINCIPAL DEL EDIFICIO LARA BONILLA DENTRO DE LA URGENCIA MANIFIESTA DECRETADA POR EL COVID-19.</t>
  </si>
  <si>
    <t>SELECTRIK S.A.S</t>
  </si>
  <si>
    <t>MANTENIMIENTO CORRECTIVO DE  LAS  TERMINALES  DE  MEDIA  TENSIÓN Y ACOMETIDA PRINCIPAL   DEL   EDIFICIO   LARA   BONILLA</t>
  </si>
  <si>
    <t>CONTRATAR LA ADQUISICIÓN DE ALCOHOL Y TOALLAS DESECHABLES, PARA MEDIDAS DE AUTOCUIDADO Y COLECTIVAS PARA EL REGRESO A LOS DIFERENTES AMBIENTES LABORALES, MITIGANDO Y CONTENIENDO EL CONTAGIO DE COVID-19 EN LOS SERVIDORES DE LA RAMA JUDICIAL DE LOS DESPACHOS JUDICIALES Y SEDES ADMINISTRATIVAS, A TRAVÉS DEL LAVADO DE MANOS..</t>
  </si>
  <si>
    <t>SUMIMAS S.A.S.</t>
  </si>
  <si>
    <t>TOALLA PARA MANOS 3 UND</t>
  </si>
  <si>
    <t>CONTRATAR LA ADQUISICIÓN DE ALCOHOL ISOPROPILICO PARA MEDIDAS DE AUTOCUIDADO Y COLECTIVAS PARA EL REGRESO A LOS DIFERENTES AMBIENTES LABORALES, MITIGANDO Y CONTENIENDO EL CONTAGIO DE COVID-19 EN LOS SERVIDORES DE LA RAMA JUDICIAL DE LOS DESPACHOS JUDICIALES Y SEDES ADMINISTRATIVAS.</t>
  </si>
  <si>
    <t>SOLUCIONES EN PROTECCION S.A.S.</t>
  </si>
  <si>
    <t>CONTRATAR EN NOMBRE DE LA NACIÓN – CONSEJO SUPERIOR LA JUDICATURA LA ADQUISICIÓN DE JABÓN LÍQUIDO, PARA MEDIDAS DE AUTOCUIDADO Y COLECTIVAS PARA EL REGRESO A LOS DIFERENTES AMBIENTES LABORALES, MITIGANDO Y CONTENIENDO EL CONTAGIO DE COVID-19 EN LOS SERVIDORES DE LA RAMA JUDICIAL DE LOS DESPACHOS JUDICIALES Y SEDES ADMINISTRATIVAS, A TRAVÉS DEL LAVADO DE MANOS.</t>
  </si>
  <si>
    <t>PANAMERICANA Y LIBRERIA S.A.</t>
  </si>
  <si>
    <t>020-2020</t>
  </si>
  <si>
    <t>CONTRATAR LA ADQUISICIÓN DE GUANTES DE NITRILO, PARA MEDIDAS DE AUTOCUIDADO Y COLECTIVAS PARA EL REGRESO A LOS DIFERENTES AMBIENTES LABORALES, MITIGANDO Y CONTENIENDO EL CONTAGIO DE COVID-19 EN LOS SERVIDORES JUDICIALES Y USUARIOS DE LA RAMA JUDICIAL DE LOS DESPACHOS JUDICIALES Y SEDES ADMINISTRATIVAS.</t>
  </si>
  <si>
    <t>CONTRATAR EN NOMBRE DE LA NACIÓN – CONSEJO SUPERIOR LA JUDICATURA LA ADQUISICIÓN DE TAPABOCAS DESECHABLES PARA MEDIDAS DE AUTOCUIDADO Y COLECTIVAS PARA EL REGRESO A LOS DIFERENTES AMBIENTES LABORALES, MITIGANDO Y CONTENIENDO EL CONTAGIO DE COVID-19 EN LOS SERVIDORES JUDICIALES DE LA RAMA JUDICIAL DE LOS DESPACHOS JUDICIALES Y SEDES ADMINISTRATIVAS.</t>
  </si>
  <si>
    <t>CONTRATAR LA ADQUISICIÓN DE ELEMENTOS DE PROTECCIÓN PERSONAL, TAPABOCAS DE TELA, PARA MEDIDAS DE AUTOCUIDADO Y COLECTIVAS EN EL REGRESO A LOS DIFERENTES AMBIENTES LABORALES, PARA CONTENER EL CONTAGIO DEL COVID-19 EN LOS SERVIDORES DE LOS DESPACHOS JUDICIALES Y SEDES ADMINISTRATIVAS.</t>
  </si>
  <si>
    <t>CONFECCIONES EL INDUSTRIAL LTDA</t>
  </si>
  <si>
    <t>TAPABOCAS TELA REUTILIZABLES</t>
  </si>
  <si>
    <t>CONTRATAR LA ADQUISICIÓN DE ELEMENTOS DE PROTECCIÓN PERSONAL, TERMÓMETROS DIGITALES Y BAYETILLAS MÉDICAS, PARA MEDIDAS DE AUTOCUIDADO Y COLECTIVAS EN EL REGRESO A LOS DIFERENTES AMBIENTES LABORALES, PARA CONTENER EL CONTAGIO DEL COVID-19 EN LOS SERVIDORES DE LOS DESPACHOS JUDICIALES Y SEDES ADMINISTRATIVAS.</t>
  </si>
  <si>
    <t>DISTRIBUCIONES PROVEMEDICS S.A.S</t>
  </si>
  <si>
    <t>TERMOMETRO INFRAROJO</t>
  </si>
  <si>
    <t>CONTRATAR EL SUMINISTRO DE LAVAMANOS PORTÁTILES AUTÓNOMOS EN ACERO INOXIDABLE PARA ATENDER LA URGENCIA MANIFIESTA Y FORTALECER LAS MEDIDAS DE PREVENCIÓN DEL CONTAGIO Y LA PROPAGACIÓN DEL COVID-19.</t>
  </si>
  <si>
    <t>MONTAJES ACERO INOXIDABLE GUINOVART S.A.S.</t>
  </si>
  <si>
    <t>LAVAMANOS PORTATIL AUTONOMO</t>
  </si>
  <si>
    <t>CONTRATAR  LA PRESTACIÓN DE SERVICIOS DE PERSONAL DE APOYO A LA GESTIÓN PARA VELAR POR EL CUMPLIMIENTO DE LOS PROTOCOLOS DE BIOSEGURIDAD ESTABLECIDOS POR LA RAMA JUDICIAL Y FORTALECER LAS MEDIDAS DE PREVENCIÓN DEL CONTAGIO Y DE LA PROPAGACIÓN DEL COVID -19.</t>
  </si>
  <si>
    <t xml:space="preserve">SERVICIOS INTEGRALES DEL CARIBE SV LTDA.  </t>
  </si>
  <si>
    <t>CÚCUTA</t>
  </si>
  <si>
    <t>C003-2020</t>
  </si>
  <si>
    <t>SUMINISTRO DE
DOSCIENTAS CINCUENTA (250) CAJAS X (50 UNIDADES) DE TAPABOCAS COMÚN; Y
SEISCIENTAS (600) UNIDADES DE TAPABOCAS RESPIRADOR N95.</t>
  </si>
  <si>
    <t>CARLOS ALFREDO RANGEL
SANDOVAL</t>
  </si>
  <si>
    <t>TAPABOCAS RESPIRADOR N95 M8210</t>
  </si>
  <si>
    <t>C004-2020</t>
  </si>
  <si>
    <t>AGROFORESTALES WILMADERAS S.A.S</t>
  </si>
  <si>
    <t>TRES (3) CICLOS DE DESINFECCIÓN POR MEDIO DE ASPERSIÓN</t>
  </si>
  <si>
    <t>O.C. 47390</t>
  </si>
  <si>
    <t>COMPRA DE TEMOMETROS INFLAROJOS, GUANTES DE VITRILO PAPELERA PEDAL 22LT</t>
  </si>
  <si>
    <t>GUANTE NITRILO CAJA X100</t>
  </si>
  <si>
    <t>TERMÓMETRO DIGITAL  INFRARROJO</t>
  </si>
  <si>
    <t>PAPELERA PEDAL DE 22LITROS</t>
  </si>
  <si>
    <t>AO-013-2020</t>
  </si>
  <si>
    <t>CONTRATAR EN NOMBRE DE LA NACIÓN CONSEJO SUPERIOR DE LA JUDICATURA – DIRECCIÓN SECCIONAL DE ADMINISTRACIÓN JUDICIAL DE CÚCUTA, EL SUMINISTRO DE 500 BATAS PARA LOS DESPACHOS JUDICIALES DE LOS MUNICIPIOS DE LOS DEPARTAMENTOS DE NORTE DE SANTANDER Y ARAUCA, EN LAS CONDICIONES TÉCNICAS DE CALIDAD Y CANTIDAD ESTABLECIDAS POR EL CONSEJO SUPERIOR DE LA JUDICATURA.</t>
  </si>
  <si>
    <t>SUPERIOR DE DOTACIONES SAS</t>
  </si>
  <si>
    <t xml:space="preserve">BATAS EN TELA POLIÉSTER Y ALGODÓN, MANGA CORTA. </t>
  </si>
  <si>
    <t>AO-014-2020</t>
  </si>
  <si>
    <t>CONTRATAR EN NOMBRE DE LA NACIÓN CONSEJO SUPERIOR DE LA JUDICATURA – DIRECCIÓN SECCIONAL DE ADMINISTRACIÓN JUDICIAL DE CÚCUTA, EL SUMINISTRO DE 51 TERMÓMETROS DIGITAL SIN CONTACTO PARA LOS DESPACHOS JUDICIALES DE LOS MUNICIPIOS DE LOS DEPARTAMENTOS DE NORTE DE SANTANDER Y ARAUCA, EN LAS CONDICIONES TÉCNICAS DE CALIDAD Y CANTIDAD ESTABLECIDAS POR EL CONSEJO SUPERIOR DE LA JUDICATURA.</t>
  </si>
  <si>
    <t>SUMINISTROS DE LABORATORIO KSALAB</t>
  </si>
  <si>
    <t>TERMÓMETRO DIGITAL INFRARROJO SIN CONTACTO</t>
  </si>
  <si>
    <t>AO-015-2020</t>
  </si>
  <si>
    <t xml:space="preserve">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t>
  </si>
  <si>
    <t>MANTENIMIENTOS INDUSTRIALES WILLIAM ARAQUE</t>
  </si>
  <si>
    <t>LAVAMANOS PORTÁTILES ACERO INOX.</t>
  </si>
  <si>
    <t>LAVAMANOS FIJOS ACERO INOX.</t>
  </si>
  <si>
    <t>AO-016-2020</t>
  </si>
  <si>
    <t>CONTRATAR EN NOMBRE DE LA NACIÓN CONSEJO SUPERIOR DE LA JUDICATURA – DIRECCIÓN SECCIONAL DE ADMINISTRACIÓN JUDICIAL DE CÚCUTA, EL SUMINISTRO DE: 47 BANDEJAS MEDIANAS (60X50CMS) PARA DESINFECCIÓN DE CALZADO CON PAÑO ESPECIAL ABSORBENTE (PARA EVITAR DERRAMES O SALPICADURAS FUERA DEL ÁREA), Y TAPETE PARA SECAR SUELA DE ZAPATOS (DESPUÉS DE DESINFECTAR PARA NO DERRAMAR LÍQUIDO EN EL PISO); Y 12 BANDEJAS GRANDES (60X120CMS) PARA DESINFECCIÓN DE CALZADO CON PAÑO ESPECIAL ABSORBENTE (PARA EVITAR DERRAMDERRAMES O SALPICADURAS FUERA DEL ÁREA), Y TAPETE PARA SECAR SUELA DE ZAPATOS (DESPUÉS DE DESINFECTAR PARA NO DERRAMAR LÍQUIDO, EN LAS CONDICIONES TÉCNICAS DE CALIDAD Y CANTIDAD ESTABLECIDAS POR EL CONSEJO SUPERIOR DE LA JUDICATURA.</t>
  </si>
  <si>
    <t xml:space="preserve">MANTENIMIENTOS INDUSTRIALES WILLIAM ARAQUE </t>
  </si>
  <si>
    <t>BANDEJA PARA DESINFECCIÓN DE CALZADO 60X50 CM LAMINA CAL.18</t>
  </si>
  <si>
    <t>BANDEJA PARA DESINFECCION CALZADO 60X120 CM LAMINA CAL.18</t>
  </si>
  <si>
    <t>O.C. 48657</t>
  </si>
  <si>
    <t>SUMINISTRO DE TAPABOCAS PARA LA EMERGENCIA DEL COVID 19</t>
  </si>
  <si>
    <t>O.C. 48659</t>
  </si>
  <si>
    <t>SUMINISTRO DE GUANTES DE NITRITO PARA ATENDER LA EMERGENCIA COVID 19</t>
  </si>
  <si>
    <t>PANAMERICANA PAPELERIA Y LIBRERÍA SAS</t>
  </si>
  <si>
    <t>O.C. 48594</t>
  </si>
  <si>
    <t>AO-020-2020</t>
  </si>
  <si>
    <t xml:space="preserve"> la prestación del servicio de dieciocho (18) vigías de la salud a fin de que desarrollen las funciones de que trata el art 18 del acuerdo PCSJA20-11567 en las sedes de esta Dirección Seccional de Administración Judicial, incluido la toma de temperatura, para la prevención del contagio y propagación del covid-19; en las condiciones técnicas de calidad y cantidad establecidas por el Consejo Superior de la Judicatura.</t>
  </si>
  <si>
    <t>MANTENIMIENTO HELIO E.S.T. SAS</t>
  </si>
  <si>
    <t>AO-021-2020</t>
  </si>
  <si>
    <t>NOHORA HAYDEE VILLAMIZAR VIVAS</t>
  </si>
  <si>
    <t>DISPENSADOR DE GEL EN ACERO INOXIDABLE</t>
  </si>
  <si>
    <t>SUMINISTRO DE DOSCIENTAS CINCUENTA (250) CAJAS X (50 UNIDADES) DE TAPABOCAS COMÚN; Y SEISCIENTAS (600) UNIDADES DE TAPABOCAS RESPIRADOR N95.</t>
  </si>
  <si>
    <t xml:space="preserve"> SUMINISTRO DE TAPABOCAS PARA LA EMERGENCIA DEL COVID 19</t>
  </si>
  <si>
    <t>PRODUCTOS DE HIGIENE DOMÉSTICA CON PROPIEDAD DESINFECTANTE DE SUPERFICIE A BASE DE CLORO (EN ESPECIAL, FORMULADOS CON HIPOCLORITO DE SODIO). – GALÓN. CANTIDAD DISTRIBUIDA ASI: VALLEDUPAR 668 Y RIOHACHA  412</t>
  </si>
  <si>
    <t>GEL ANTIBACTERIAL FCX1LT – ALCOHOL ISOPROPILICO 70% EN GEL PARA ANTISEPSIA DE MANOS ALCOHOL ISOPROPILICO EN GEL PARA ANTISEPSIA DE MANOS, 70ML+2G/100ML</t>
  </si>
  <si>
    <t>ROLLO X 100 MTS</t>
  </si>
  <si>
    <t>ROLLO X 30 MTS</t>
  </si>
  <si>
    <t>ROLLO X 33 MTS</t>
  </si>
  <si>
    <t>ESCANNER DE MANO</t>
  </si>
  <si>
    <t>ALQUILER DE ESCANNER</t>
  </si>
  <si>
    <t>AUXILIARES DE ASEO</t>
  </si>
  <si>
    <t>ALCOHOL GLICERINADO</t>
  </si>
  <si>
    <t xml:space="preserve">GEL </t>
  </si>
  <si>
    <t>SERVICIO DE AREAS PROTEGIDAS TIPO A:SERVICIO QUE CONTARÁ UN PROFESIONAL DE LA SALUD (CON COMPETENCIA DE ATENCIÓN PRE-HOSPITALARIA) QUE  CUMPLA  TURNO  DE  7,30 AM  A 5,30 PM DE LUNES A VIERNES, EN  CADA UNA DE LAS SEDES OBJETIVO; QUIEN ATENDERÁ TODOS LOS CASOS DE EMERGENCIAS, URGENCIAS MÉDICAS, Y EVENTOS RELACIONADOS CON ENFERMEDADES GENERALES, ACCIDENTES DE TRABAJO, ETC. TAMBIÉN CONTARÁ CON UN RESPALDO DE  ASESORIA MÉDICA EN  LINEA (WEB - TELEFONICA) Y CUBRIMIENTO DEL SERVICIO CON UNA AMBULANCIA,  SEGÚN SE DETERMINE EN LAS SEDES OBJETIVO POR 7 MESES</t>
  </si>
  <si>
    <t>SERVICIO DE ÁREAS PROTEGIDAS TIPO B : SERVICIO QUE CONTARÁ CON CUBRIMIENTO DE LAS AMBULANCIAS DE TRANSPORTE ASISTENCIAL BÁSICO (TAB), QUE ATENDERÁ TODOS LOS CASOS DE EMERGENCIAS Y/O URGENCIAS QUE SE PRESENTEN EN EL ÁREA DEFINIDA EN LOS TIEMPOS ESTABLECIDOS SEGÚN LA CLASIFICACIÓN DEL TRIAGE, DURANTE LAS 24 HORAS DEL DÍA Y DENTRO DE LA VIGENCIA DEL CONTRATO Y CUBRE A TODAS LAS PERSONAS QUE SE ENCUENTRAN DENTRO DE DICHA ÁREA, COMO SON EMPLEADOS, FUNCIONARIOS, CONTRATISTAS, PROVEEDORES Y USUARIOS POR 7 MESES</t>
  </si>
  <si>
    <t xml:space="preserve">DISPENSADOR PARA GEL EN PLÁSTICO CON KIT DE INSTALACIÓN A LA PARED </t>
  </si>
  <si>
    <t>ATOMIZADOR / DOSIFICADOR</t>
  </si>
  <si>
    <t>DISPENSADORES DE GEL EN ACERO INOXIDABLE, PORTÁTILES Y ACCIONABLES CON EL PIE</t>
  </si>
  <si>
    <t xml:space="preserve">DISPENSADORES DE TOALLAS DE PAPEL </t>
  </si>
  <si>
    <t>DISPENSADOR</t>
  </si>
  <si>
    <t>DISPENSADOR DE ANTIBACTERIAL ACERO INOX.</t>
  </si>
  <si>
    <t>PROFESIONALES EN BASES DE DATOS</t>
  </si>
  <si>
    <t>BAYETILLAS 36 X 60 CMS MARCA HR</t>
  </si>
  <si>
    <t>BOLSAS</t>
  </si>
  <si>
    <t xml:space="preserve">BOLSA PLASTICA.A/D ROJA 50X60CM C/L </t>
  </si>
  <si>
    <t>GUANTES NITILSAFE</t>
  </si>
  <si>
    <t>ROLLO X 5 MTS</t>
  </si>
  <si>
    <t>ADQUISICION DE CINTAS ADHESIVAS DE ALTO RENDIMIENTO PARA DEMARCACION DE ZONAS X 32 MTS</t>
  </si>
  <si>
    <t>ROLLO X 32,91 MTS</t>
  </si>
  <si>
    <t>SERVICIO DE TRES (3) CICLOS DE DESINFECCION POR MEDIO DE ASPERSIÓN PARA VIRUS, BACTERIAS, Y HONGOS, LOS DESPACHOS JUDICIALES Y ÁREAS DE ARCHIVOS DEL BLOQUE A, B, Y C, GIMNASIO Y ZONAS COMUNES DEL PALACIO DE JUSTICIA DE CÚCUTA…</t>
  </si>
  <si>
    <t>Total general</t>
  </si>
  <si>
    <t>PAÑOS DE LIMPIEZA</t>
  </si>
  <si>
    <t>ELEMENTO</t>
  </si>
  <si>
    <t>SECCIONAL / ELEMENTO</t>
  </si>
  <si>
    <t>DESINFECTANTE / DETERGENTE</t>
  </si>
  <si>
    <t>CONTRATAR EN NOMBRE DE LA NACIÓN CONSEJO SUPERIOR DE LA JUDICATURA – DIRECCIÓN SECCIONAL DE ADMINISTRACIÓN JUDICIAL DE CÚCUTA, EL SUMINISTRO DE 60 PORTA DISPENSADOR DE ANTIBACTERIAL PARA LA PREVENCIÓN DE LA PANDEMIA COVID19; EN LAS CONDICIONES TÉCNICAS DE CALIDAD Y CANTIDAD ESTABLECIDAS POR EL CONSEJO SUPERIOR DE LA JUDICATURA</t>
  </si>
  <si>
    <t>METROS CUBICOS</t>
  </si>
  <si>
    <t>DESINFECCION AMBIENTAL POR ASPERSION Y NEBULIZACION DE JUZGADOS Y OFICINAS</t>
  </si>
  <si>
    <t>ADECUACION / REPARACION</t>
  </si>
  <si>
    <t>VIGILANCIA TOMA TEMPERATURA</t>
  </si>
  <si>
    <t>BOLSA PLÁSTICA ROJA X 100 DE 50X60 CMS</t>
  </si>
  <si>
    <t>BOLSA PLÁSTICA ROJA X100 DE 50X50 CMS</t>
  </si>
  <si>
    <t>BOLSA PLASTICA X 100</t>
  </si>
  <si>
    <t>BOLSAS PLASTICAS X 100 50*60</t>
  </si>
  <si>
    <t>ADQUISICION COMPUTADORES PORTATILES HP</t>
  </si>
  <si>
    <t>TAPABOCAS N95 CON FILTRO DE CARBONO (BOLSA INDIVIDUAL). MARCA ZUBI OLA</t>
  </si>
  <si>
    <t>TAPABOCAS DESECHABLES GMTG15</t>
  </si>
  <si>
    <t>TAPABOCAS REUTIIZABLES GMTG15</t>
  </si>
  <si>
    <t>TAPABOCAS QUIRURGICO</t>
  </si>
  <si>
    <t>TAPABOCAS DOBLE TELA</t>
  </si>
  <si>
    <t>TAPABOCAS COMÚN CON ELÁSTICO</t>
  </si>
  <si>
    <t>TAPABOCAS DESECHABLE</t>
  </si>
  <si>
    <t>TAPABOCA QUIRURIGICO INDUSTRIAL 2 BANDAS</t>
  </si>
  <si>
    <t>TAPABOCAS DESECHABLES MARCA CALMEDIC</t>
  </si>
  <si>
    <t>TAPABOCAS DESECHABLE MARCA RYMCO</t>
  </si>
  <si>
    <t>TAPABOCAS DOBLE TELA LAVABLE</t>
  </si>
  <si>
    <t xml:space="preserve">TAPABOCAS DESECHABLES </t>
  </si>
  <si>
    <t>TAPABOCAS RESPIRADOR N95</t>
  </si>
  <si>
    <t xml:space="preserve">TAPA BOCAS, DESECHABLE, CON RESORTE A LA OREJA, DOBLE FILTRO, ADAPTADOR NASAL AJUSTABLE, CAJA POR 100 UNIDADES. </t>
  </si>
  <si>
    <t xml:space="preserve">250 CAJAS DE TAPABOCAS  EN LA CIUDAD DE VALLEDUPAR Y 150 EN LA CIUDAD DE RIOHACHA DTC LA GUAJIRA, TAPA BOCAS DESECHABLES TRIPLE PROTECCIÓN CON REGISTRO INVIMA </t>
  </si>
  <si>
    <t>PERSONAL QUE CUMPLA FUNCIONES DE VIGIAS DE SALUD (3 MESES)</t>
  </si>
  <si>
    <t>SERVICIO DE APOYO LOGISTICO (AUXILIARES DE ENFERMERAS) 7 EN 8 HORAS DIARIAS DE LUNES A VIERNES (3.5 MESES)</t>
  </si>
  <si>
    <t>VIGIAS DE LA SALUD (POR 3 MESES)</t>
  </si>
  <si>
    <t>CONTRATAR  15 AUXILIARES  ENCARGADAS DE LA TOMA DE TEMPERATURA CORPORAL, VERIFICACIÓN DE SÍNTOMAS, ADEMÁS DE VELAR POR EL CUMPLIMIENTO DE LOS PROTOCOLOS
DE BIOSEGURIDAD DEFINIDOS POR LA ENTIDAD, EN LAS SEDES DE MAYOR AFLUENCIA DEL DISTRITO JUDICIAL DEL DEPARTAMENTO DEL CESAR Y LA GUAJIRA. (3 MESES)</t>
  </si>
  <si>
    <t>PERSONAL DE APOYO PARA LA GESTION (POR 6 MESES)</t>
  </si>
  <si>
    <t>PRESTACIÓN DE SERVICIOS DE PERSONAL DE APOYO A LA GESTIÓN CON VIGÍAS DE SALUD (POR 3 MESES)</t>
  </si>
  <si>
    <t>AUXILIARES DE ENFERMERIA EL VALOR TOTAL CORRESPONDE A LOS MESES DE JULIO, AGOSTO, SEPTIEMBRE Y OCTUBRE. EL VALOR MENSUAL CORRESPONDE A $18.374.736 EQUIVALENTE A  12 PERSONAS X MES UBICADAS EN LAS SEDES: NEIVA (5), GARZON (1), PITALITO(1), LA PLATA(1), FLORENCIA (2), PUERTO RICO (1), BELEN DE LOS ANDAQUIES (1). (POR 4 MESES)</t>
  </si>
  <si>
    <t>PERSONAL DE APOYO VIGIAS DE SALUD PARA VELAR POR EL CUMPLIENTO DE PROTOCOLOS DE BIOSEGURIDAD (POR 5 MESES)</t>
  </si>
  <si>
    <t>SERVICIOS DE GESTION, SERVICIOS PROFESIONALES (ADMINISTRADOR TEMPORAL DE BASES DE DATOS O DE SISTEMAS DE TECNOLOGIA DE LA INFORMACION) (POR 2 MESES)</t>
  </si>
  <si>
    <t>ALQUILER EQUIPO PORTATIL USADO PROCESADOR  CORE I5  MEMORIA 8GB DDR DISCO DURO DE 500 O SUPERIOR,PANTALLA DE 14 CAMARA-CAMARA HD720P , RJ45,UNIDAD OPTICA (POR 3 MESES)</t>
  </si>
  <si>
    <t>PRESTACIÓN DEL SERVICIO DE ASEO Y LIMPIEZA AL DISTRITO JUDICIAL TIEMPO COMPLETO POR 5 MESES</t>
  </si>
  <si>
    <t>PRESTACIÓN DEL SERVICIO DE ASEO Y LIMPIEZA AL DISTRITO JUDICIAL MEDIO TIEMPO POR 4.5 MESES</t>
  </si>
  <si>
    <t>PRESTACIÓN DEL SERVICIO DE ASEO Y LIMPIEZA AL DISTRITO JUDICIAL 8 HORAS POR SEMANA POR 4 MESES</t>
  </si>
  <si>
    <t>ARRENDAMIENTO DE 33 COMPUTADORES PORTÁTILES CON CÁMARA INCORPORADA Y PARLANTES PARA FACILITAR LA REALIZACIÓN DE AUDIENCIAS VIRTUALES CON CONEXIÓN REMOTA. POR 4 MESES</t>
  </si>
  <si>
    <t>TRAJES DE PROTECCIÓN CORPORAL CARTAGENA</t>
  </si>
  <si>
    <t>GEL ANTIBACTERIAL CONCENTRACIÓN MINIMA DEL 60%</t>
  </si>
  <si>
    <t>JABÓN ANTIBACTERIAL CONCENTRACIÓN MINIMA DEL 6%</t>
  </si>
  <si>
    <t>GEL ANTIBACTERIAL PARA MANOS</t>
  </si>
  <si>
    <t>GEL 1L</t>
  </si>
  <si>
    <t>GEL ANTIBACTERIAL A BASE DE ALCOHOL AL 96%</t>
  </si>
  <si>
    <t xml:space="preserve">GEL ANTIBACTERIAL MANOS </t>
  </si>
  <si>
    <t xml:space="preserve">GEL ANTIBACTERIAL - </t>
  </si>
  <si>
    <t>GEL ANTIBACTERIAL -</t>
  </si>
  <si>
    <t>COV01-PA-17 - GEL ANTIBACTERIAL</t>
  </si>
  <si>
    <t xml:space="preserve">GEL ANTIBACTERIAL ORION </t>
  </si>
  <si>
    <t xml:space="preserve">SANITIZANTE SOLUCION RECIPIENTE </t>
  </si>
  <si>
    <t xml:space="preserve">GEL ANTIBACTERIAL GLICERIADO, ALCOHOL GELA LA 65%, </t>
  </si>
  <si>
    <t xml:space="preserve">GEL ANTIBACTERIAL EN PRESENTACION DE </t>
  </si>
  <si>
    <t>GEL ANTIBACTERIAL FCX1LT - ALCOHOLISOPROPILICO 70% EN GEL PARA ANTISEPSIA DE MANOS ALCOHOL ISOPROPILICO EN GEL PARA ANTISEPSIA DE MANOS, 70ML+2G/100ML</t>
  </si>
  <si>
    <t>VALOR</t>
  </si>
  <si>
    <t xml:space="preserve">ALCOHOL </t>
  </si>
  <si>
    <t>ALCOHOL ISOPROPILICO 70% EN GEL PARA ANTISEPSIA</t>
  </si>
  <si>
    <t xml:space="preserve">ALCOHOL ANTISÉPTICO </t>
  </si>
  <si>
    <t>ALCOHOL ANTISEPTICO</t>
  </si>
  <si>
    <t xml:space="preserve">ALCOHOL ISOPROPILICO 70% EN GEL </t>
  </si>
  <si>
    <t xml:space="preserve">ALCOHOL ANTISÉPTICO GALÓN AL 70% </t>
  </si>
  <si>
    <t xml:space="preserve">ALCOHOL ANTISEPTICO AL 70% </t>
  </si>
  <si>
    <t>ALCOHOL ANTISEPTICO AL 70%</t>
  </si>
  <si>
    <t>COV01-PA-1 - ALCOHOL</t>
  </si>
  <si>
    <t>ALCOHOL ANTISEPTICO DE USO EXTERNO AL 70%, FRASCO PLASTICO</t>
  </si>
  <si>
    <t>FRASCO ALCOHOL ANTISÉPTICO AL 70%</t>
  </si>
  <si>
    <t>BOTELLAS DE ALCOHOL</t>
  </si>
  <si>
    <t xml:space="preserve">ALCOHOL FRASCO ANTISEPTICO DE USO EXTERNO AL 70% </t>
  </si>
  <si>
    <t>ALCOHOL INDUSTRIAL X LITROS</t>
  </si>
  <si>
    <t>ESCANER VERTICAL A4 MINIMO 6.000 PAGINA, MINIMO 60PPM POR 3 MESES</t>
  </si>
  <si>
    <t>OPERARIO DE ASEO POR 3 MESES 10 DIAS</t>
  </si>
  <si>
    <t xml:space="preserve">BLANQUEADOR MARCA PROPIA HIPOCLORITO 5,25% </t>
  </si>
  <si>
    <t xml:space="preserve">DESINFECTANTE A BASE DE CLORO - HIPOCLORITO </t>
  </si>
  <si>
    <t>PRODUCTOS DE HIGIENE DOMÉSTICA CON PROPIEDAD DESINFECTANTE DE SUPERFICIE A BASE DE CLORO (EN ESPECIAL, FORMULADOS CON HIPOCLORITO DE SODIO). –CANTIDAD DISTRIBUIDA ASI: VALLEDUPAR 668 Y RIOHACHA  412</t>
  </si>
  <si>
    <t xml:space="preserve">JABON LIQUIDO PARA MANOS ANTIBACTERIAL </t>
  </si>
  <si>
    <t>JABON LIQUIDO DE MANOS ANTIBACTERIAL PERLADO</t>
  </si>
  <si>
    <t xml:space="preserve">JABON LIQUIDO P/MANOSC/GLICERINA </t>
  </si>
  <si>
    <t>JABON MANOS AVENA/DISPENSADOR COD: 900502307</t>
  </si>
  <si>
    <t>JABON LIQUIDO PARA MANOS  ORION</t>
  </si>
  <si>
    <t>JABÓN PARA MANOS - LÍQUIDO</t>
  </si>
  <si>
    <t xml:space="preserve">JABÓN LÍQ_MANOS PLÁST. </t>
  </si>
  <si>
    <t>JABÓN DISPENSADOR PARA MANOS LÍQUIDO.</t>
  </si>
  <si>
    <t>JABON LIQUIDO ANTIBACTERIALAVENA BERHLAN</t>
  </si>
  <si>
    <t xml:space="preserve">JABÓN DISPENSADOR PARA MANOS 2 - LÍQUIDO, </t>
  </si>
  <si>
    <t xml:space="preserve">JABON LIQUIDO ANTIBACTERIAL PARA MANOS </t>
  </si>
  <si>
    <t xml:space="preserve">JABÓN LÍQUIDO </t>
  </si>
  <si>
    <t>JABÓN LÍQUIDO</t>
  </si>
  <si>
    <t>JABÓN DE MANOS</t>
  </si>
  <si>
    <t xml:space="preserve">JABON LIQUIDO MANOS ANT </t>
  </si>
  <si>
    <t xml:space="preserve">JABON ESPUMA GOLO </t>
  </si>
  <si>
    <t xml:space="preserve">JABON BACTISAN SCOTT SPRAY </t>
  </si>
  <si>
    <t>JABON LIQUIDO DISPENSADOR MANOS</t>
  </si>
  <si>
    <t>JABON DISPENSADOR PARA MANOS</t>
  </si>
  <si>
    <t xml:space="preserve">JABÓN DISPENSADOR PARA MANOS 2 CÓDIGO PA 30, LÍQUIDO DISTRIBUIDOS ASÍ: 100 PARA LA SECCIONAL DE VALLEDUPAR Y 100 PARA COORDINACIÓN ADMINISTRATIVA DE RIOHACHA  </t>
  </si>
  <si>
    <t>JABÓN DISPENSADOR PARA MANOS 2 – LIQUIDO</t>
  </si>
  <si>
    <t>SERVICIOS DE GESTION, SERVICIOS PROFESIONALES (ADMINISTRADOR TEMPORAL DE BASES DE DATOS O DE SISTEMAS DE TECNOLOGIA DE LA INFORMACION) POR 2 MESES</t>
  </si>
  <si>
    <t>PRESTACION SERVICIO DE VIGILANCIA CON TOMA DE TEMPERATURA, A TRAVES DE TERMOMETRO INFRARROJO EN 10 PUESTOS DE VIGILANCIA DE LAS DIFERENTES SEDES JUDICIALES DEL DPTO DE SUCRE  POR 1 MES</t>
  </si>
  <si>
    <t>SERVICIO DE APOYO LOGISTICO (ENFERMERAS) 7 EN 8 HORAS DIARIAS DE LUNES A VIERNES POR 4 MESES</t>
  </si>
  <si>
    <t>PREVENCIÓN Y CONTROL DE ENFERMEDADES CONTAGIOSAS (PERFIL 1) POR 1 MES</t>
  </si>
  <si>
    <t>PREVENCIÓN Y CONTROL DE ENFERMEDADES CONTAGIOSAS (PERFIL 2) POR 1 MES</t>
  </si>
  <si>
    <t>CONTRATAR EL SUMINISTRO DE ELEMENTOS DE PROTECCION PERSONAL PARA LA PREVENCIÓN DEL COVID-19 - ALCOHOL GLICERINADO EN CUMPLIMIENTO DE NUESTRO PLAN DE COMPRAS Y DEL PROTOCOLO DE ACCESO A SEDES - MEDIDAS COMPLEMENTARIAS PARA PREVENCIÓN DEL CONTAGIO DEL COVID-19 EN LOS SERVIDORES JUDICIALES, CONTRATISTAS DE PRESTACIÓN DE SERVICIOS Y JUDICANTES.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</si>
</sst>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1" formatCode="_-* #,##0_-;\-* #,##0_-;_-* &quot;-&quot;_-;_-@_-"/>
    <numFmt numFmtId="44" formatCode="_-&quot;$&quot;\ * #,##0.00_-;\-&quot;$&quot;\ * #,##0.00_-;_-&quot;$&quot;\ * &quot;-&quot;??_-;_-@_-"/>
    <numFmt numFmtId="164" formatCode="_-&quot;$&quot;\ * #,##0_-;\-&quot;$&quot;\ * #,##0_-;_-&quot;$&quot;\ * &quot;-&quot;??_-;_-@_-"/>
    <numFmt numFmtId="165" formatCode="yyyy\-mm\-dd;@"/>
  </numFmts>
  <fonts count="7" x14ac:knownFonts="1">
    <font>
      <sz val="11"/>
      <color theme="1"/>
      <name val="Calibri"/>
      <family val="2"/>
      <scheme val="minor"/>
    </font>
    <font>
      <sz val="11"/>
      <color theme="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2"/>
      <color rgb="FF000000"/>
      <name val="Times New Roman"/>
      <family val="1"/>
    </font>
    <font>
      <sz val="11"/>
      <color indexed="8"/>
      <name val="Arial"/>
      <family val="2"/>
    </font>
  </fonts>
  <fills count="4">
    <fill>
      <patternFill patternType="none"/>
    </fill>
    <fill>
      <patternFill patternType="gray125"/>
    </fill>
    <fill>
      <patternFill patternType="solid">
        <fgColor rgb="FF00B0F0"/>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diagonal/>
    </border>
  </borders>
  <cellStyleXfs count="4">
    <xf numFmtId="0" fontId="0" fillId="0" borderId="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8">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1" fontId="3" fillId="2" borderId="1" xfId="1" applyFont="1" applyFill="1" applyBorder="1" applyAlignment="1">
      <alignment horizontal="center" vertical="center" wrapText="1"/>
    </xf>
    <xf numFmtId="164" fontId="3" fillId="2" borderId="1" xfId="2" applyNumberFormat="1" applyFont="1" applyFill="1" applyBorder="1" applyAlignment="1">
      <alignment horizontal="center" vertical="center" wrapText="1"/>
    </xf>
    <xf numFmtId="0" fontId="0" fillId="0" borderId="0" xfId="0"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4" fillId="0" borderId="0" xfId="0" applyFont="1" applyFill="1" applyAlignment="1">
      <alignment vertical="center"/>
    </xf>
    <xf numFmtId="165" fontId="0" fillId="0" borderId="0" xfId="0" applyNumberForma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0" xfId="0" applyFill="1" applyBorder="1" applyAlignment="1"/>
    <xf numFmtId="0" fontId="0" fillId="0" borderId="0" xfId="0" applyFill="1" applyBorder="1"/>
    <xf numFmtId="0" fontId="0" fillId="0" borderId="0" xfId="0" applyFill="1" applyBorder="1" applyAlignment="1">
      <alignment horizontal="center" vertical="center"/>
    </xf>
    <xf numFmtId="164" fontId="0" fillId="0" borderId="0" xfId="2" applyNumberFormat="1" applyFont="1" applyFill="1" applyBorder="1"/>
    <xf numFmtId="0" fontId="4" fillId="0" borderId="0" xfId="0" applyFont="1" applyAlignment="1">
      <alignment vertical="center"/>
    </xf>
    <xf numFmtId="0" fontId="0" fillId="0" borderId="0" xfId="0" applyFill="1" applyBorder="1" applyAlignment="1">
      <alignment horizontal="center"/>
    </xf>
    <xf numFmtId="0" fontId="0" fillId="0" borderId="0" xfId="0" applyBorder="1"/>
    <xf numFmtId="164" fontId="0" fillId="3" borderId="0" xfId="2" applyNumberFormat="1" applyFont="1" applyFill="1" applyBorder="1"/>
    <xf numFmtId="0" fontId="0" fillId="3" borderId="0" xfId="0" applyFill="1" applyBorder="1" applyAlignment="1">
      <alignment horizontal="center" vertical="center"/>
    </xf>
    <xf numFmtId="1" fontId="0" fillId="0" borderId="0" xfId="0" applyNumberFormat="1" applyFill="1" applyBorder="1"/>
    <xf numFmtId="41" fontId="3" fillId="2" borderId="1" xfId="1" applyNumberFormat="1" applyFont="1" applyFill="1" applyBorder="1" applyAlignment="1">
      <alignment horizontal="center" vertical="center" wrapText="1"/>
    </xf>
    <xf numFmtId="41" fontId="0" fillId="0" borderId="0" xfId="0" applyNumberFormat="1" applyFill="1" applyBorder="1"/>
    <xf numFmtId="41" fontId="0" fillId="0" borderId="0" xfId="0" applyNumberFormat="1"/>
    <xf numFmtId="164" fontId="0" fillId="0" borderId="0" xfId="0" applyNumberFormat="1"/>
    <xf numFmtId="0" fontId="0" fillId="0" borderId="0" xfId="0" applyAlignment="1">
      <alignment horizontal="left"/>
    </xf>
    <xf numFmtId="0" fontId="0" fillId="0" borderId="0" xfId="0" applyAlignment="1">
      <alignment horizontal="left" indent="1"/>
    </xf>
    <xf numFmtId="164" fontId="0" fillId="0" borderId="0" xfId="2" applyNumberFormat="1" applyFont="1"/>
    <xf numFmtId="3" fontId="0" fillId="0" borderId="0" xfId="0" applyNumberFormat="1"/>
    <xf numFmtId="164" fontId="0" fillId="0" borderId="0" xfId="2" applyNumberFormat="1" applyFont="1" applyFill="1" applyBorder="1" applyAlignment="1" applyProtection="1">
      <alignment vertical="center"/>
      <protection locked="0"/>
    </xf>
    <xf numFmtId="164" fontId="0" fillId="0" borderId="0" xfId="2" applyNumberFormat="1" applyFont="1" applyFill="1" applyBorder="1" applyAlignment="1">
      <alignment vertical="center"/>
    </xf>
    <xf numFmtId="0" fontId="0" fillId="0" borderId="0" xfId="0" pivotButton="1" applyAlignment="1">
      <alignment horizontal="center"/>
    </xf>
    <xf numFmtId="164" fontId="0" fillId="0" borderId="0" xfId="2" applyNumberFormat="1" applyFont="1" applyAlignment="1">
      <alignment horizontal="center"/>
    </xf>
    <xf numFmtId="0" fontId="0" fillId="0" borderId="0" xfId="0" applyAlignment="1">
      <alignment horizontal="center"/>
    </xf>
    <xf numFmtId="0" fontId="0" fillId="3" borderId="0" xfId="0" applyFill="1" applyBorder="1" applyAlignment="1"/>
    <xf numFmtId="0" fontId="0" fillId="0" borderId="0" xfId="0" applyFill="1" applyBorder="1" applyAlignment="1">
      <alignment wrapText="1"/>
    </xf>
  </cellXfs>
  <cellStyles count="4">
    <cellStyle name="Millares [0]" xfId="1" builtinId="6"/>
    <cellStyle name="Moneda" xfId="2" builtinId="4"/>
    <cellStyle name="Moneda [0]" xfId="3" builtinId="7"/>
    <cellStyle name="Normal" xfId="0" builtinId="0"/>
  </cellStyles>
  <dxfs count="8">
    <dxf>
      <alignment horizontal="center" readingOrder="0"/>
    </dxf>
    <dxf>
      <alignment horizontal="center" readingOrder="0"/>
    </dxf>
    <dxf>
      <numFmt numFmtId="164" formatCode="_-&quot;$&quot;\ * #,##0_-;\-&quot;$&quot;\ * #,##0_-;_-&quot;$&quot;\ * &quot;-&quot;??_-;_-@_-"/>
    </dxf>
    <dxf>
      <numFmt numFmtId="164" formatCode="_-&quot;$&quot;\ * #,##0_-;\-&quot;$&quot;\ * #,##0_-;_-&quot;$&quot;\ * &quot;-&quot;??_-;_-@_-"/>
    </dxf>
    <dxf>
      <alignment horizontal="center" readingOrder="0"/>
    </dxf>
    <dxf>
      <alignment horizontal="center" readingOrder="0"/>
    </dxf>
    <dxf>
      <numFmt numFmtId="164" formatCode="_-&quot;$&quot;\ * #,##0_-;\-&quot;$&quot;\ * #,##0_-;_-&quot;$&quot;\ * &quot;-&quot;??_-;_-@_-"/>
    </dxf>
    <dxf>
      <numFmt numFmtId="164" formatCode="_-&quot;$&quot;\ * #,##0_-;\-&quot;$&quot;\ * #,##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ER/AppData/Local/Packages/microsoft.windowscommunicationsapps_8wekyb3d8bbwe/LocalState/Files/S0/8/Attachments/CONSOLIDADO%20COMPRAS%20ELEMENTOS%20COVID%20A%20JULI0%202020%5b2305843009215653506%5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082.394599074076" createdVersion="5" refreshedVersion="5" minRefreshableVersion="3" recordCount="687">
  <cacheSource type="worksheet">
    <worksheetSource ref="A1:P684" sheet="CONSOLIDADO" r:id="rId2"/>
  </cacheSource>
  <cacheFields count="16">
    <cacheField name="SECCIONAL QUE CELEBRA EL CTO. " numFmtId="0">
      <sharedItems count="22">
        <s v="ARMENIA"/>
        <s v="ARMENIA "/>
        <s v="BARRANQUILLA"/>
        <s v="BOGOTÁ"/>
        <s v="BUCARAMANGA"/>
        <s v="CALI"/>
        <s v="CARTAGENA"/>
        <s v="CÚCUTA"/>
        <s v="IBAGUÉ"/>
        <s v="MANIZALES"/>
        <s v="MEDELLÍN"/>
        <s v="MONTERÍA"/>
        <s v="NEIVA"/>
        <s v="NIVEL CENTRAL"/>
        <s v="PASTO"/>
        <s v="PEREIRA"/>
        <s v="POPAYÁN"/>
        <s v="SANTA MARTA"/>
        <s v="SINCELEJO"/>
        <s v="TUNJA"/>
        <s v="VALLEDUPAR"/>
        <s v="VILLAVICENCIO"/>
      </sharedItems>
    </cacheField>
    <cacheField name="NÚMERO DE CONTRATO" numFmtId="0">
      <sharedItems containsMixedTypes="1" containsNumber="1" containsInteger="1" minValue="1" maxValue="1651630"/>
    </cacheField>
    <cacheField name="OBJETO DEL CONTRATO " numFmtId="0">
      <sharedItems longText="1"/>
    </cacheField>
    <cacheField name="FECHA DE SUSCRIPCIÓN CONTRATO " numFmtId="165">
      <sharedItems containsDate="1" containsMixedTypes="1" minDate="2019-01-12T00:00:00" maxDate="2029-11-09T00:00:00"/>
    </cacheField>
    <cacheField name="FECHA INICIO CONTRATO" numFmtId="165">
      <sharedItems containsDate="1" containsMixedTypes="1" minDate="2019-12-01T00:00:00" maxDate="2020-12-29T00:00:00"/>
    </cacheField>
    <cacheField name="VALOR INICIAL DEL CONTRATO " numFmtId="164">
      <sharedItems containsSemiMixedTypes="0" containsString="0" containsNumber="1" minValue="0" maxValue="418175000"/>
    </cacheField>
    <cacheField name="ADICIONES AL VALOR CTO." numFmtId="164">
      <sharedItems containsSemiMixedTypes="0" containsString="0" containsNumber="1" containsInteger="1" minValue="0" maxValue="150000000"/>
    </cacheField>
    <cacheField name="CONTRATISTA" numFmtId="0">
      <sharedItems/>
    </cacheField>
    <cacheField name="NIT. CONTRATISTA" numFmtId="0">
      <sharedItems containsSemiMixedTypes="0" containsString="0" containsNumber="1" containsInteger="1" minValue="1062185" maxValue="9009354530"/>
    </cacheField>
    <cacheField name="DESCRIPCION ELEMENTOS ADQUIRIDOS" numFmtId="0">
      <sharedItems longText="1"/>
    </cacheField>
    <cacheField name="CANTIDAD" numFmtId="0">
      <sharedItems containsSemiMixedTypes="0" containsString="0" containsNumber="1" minValue="1" maxValue="192300"/>
    </cacheField>
    <cacheField name="UNIDAD DE MEDIDA" numFmtId="0">
      <sharedItems/>
    </cacheField>
    <cacheField name="VALOR UNITARIO" numFmtId="164">
      <sharedItems containsSemiMixedTypes="0" containsString="0" containsNumber="1" minValue="541" maxValue="30188750"/>
    </cacheField>
    <cacheField name="IVA" numFmtId="164">
      <sharedItems containsString="0" containsBlank="1" containsNumber="1" minValue="0" maxValue="2052000"/>
    </cacheField>
    <cacheField name="VALOR TOTAL" numFmtId="164">
      <sharedItems containsSemiMixedTypes="0" containsString="0" containsNumber="1" minValue="10715.759599999999" maxValue="355755000"/>
    </cacheField>
    <cacheField name="CATEGORIA" numFmtId="0">
      <sharedItems count="53">
        <s v="TRAJES DE PROTECCION / OVEROL"/>
        <s v="GUANTES NITILSAFE"/>
        <s v="MONOGAFAS"/>
        <s v="TAPABOCAS"/>
        <s v="GEL ANTIBACTERIAL"/>
        <s v="JABON LIQUIDO PARA MANOS"/>
        <s v="VIGIAS DE SALUD"/>
        <s v="VINIPEL"/>
        <s v="TOALLAS PARA MANOS"/>
        <s v="LAVAMANOS"/>
        <s v="GUANTES DE NITRILO"/>
        <s v="CARETAS"/>
        <s v="DISPENSADOR"/>
        <s v="DIVISIONES / BARRERAS / PUERTAS "/>
        <s v="ALQUILER DE ESCANNER"/>
        <s v="CANECAS / PAPELERAS"/>
        <s v="AUXILIARES DE ASEO"/>
        <s v="BLANQUEADOR"/>
        <s v="GUANTES DE LATEX"/>
        <s v="ADECUACION / REPARACION"/>
        <s v="ALCOHOL"/>
        <s v="TERMOMETROS"/>
        <s v="BAYETILLA"/>
        <s v="AREAS PROTEGIDAS"/>
        <s v="PAPEL HIGIENICO"/>
        <s v="COMPUTADOR"/>
        <s v="LICENCIAS SW"/>
        <s v="PROFESIONALES EN BASES DE DATOS"/>
        <s v="ALQUILER COMPUTADOR"/>
        <s v="ESCANNER DE MANO"/>
        <s v="SEÑALIZACION"/>
        <s v="WEBCAM"/>
        <s v="DIADEMAS"/>
        <s v="TAPETE DESINFECTANTE"/>
        <s v="PILAS"/>
        <s v="GAFAS"/>
        <s v="BATA"/>
        <s v="BOLSAS"/>
        <s v="SERVICIO DE DESINFECCION"/>
        <s v="GALON"/>
        <s v="GUANTES DE NITRILO "/>
        <s v="INSTALACION ELEMENTOS"/>
        <s v="ATOMIZADOR / DOSIFICADOR"/>
        <s v="DESINFECTANTE / DETERGENTE"/>
        <s v="PAÑOS DE LIMPIEZA"/>
        <s v="ALCOHOL GLICERINADO"/>
        <s v="AMONIO"/>
        <s v="INTERCOMUNICADOR"/>
        <s v="CONSULTORIA"/>
        <s v="PARLANTES"/>
        <s v="LECTORA CODIGO DE BARRAS"/>
        <s v="VIGILANCIA TOMA TEMPERATURA"/>
        <s v="VINAGR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7">
  <r>
    <x v="0"/>
    <s v="CONTRATO DE COMPRAVENTA Nro 5"/>
    <s v="ADQUISICIÓN DE ELEMENTOS DE BIOSEGURIDAD CONSISTENTES EN TRAJES DE PROTECCIÓN CORPORAL, MONOGAFAS CON VENTILACIÓN Y GUANTES PARA LOS SERVIDORES JUDICIALES QUE EJERCEN FUNCIONES DE CONTROL DE GARANTÍAS DEL DISTRITO JUDICIAL DE ARMENIA Y ADMINISTRATIVO DEL QUINDÍO."/>
    <d v="2020-03-20T00:00:00"/>
    <d v="2020-03-20T00:00:00"/>
    <n v="2573970"/>
    <n v="0"/>
    <s v="TECHNICAL SOLUTIONS SAFETY SAS"/>
    <n v="901095058"/>
    <s v="TRAJE DE PROTECCION CORPORAL, TALLAS L Y XL "/>
    <n v="100"/>
    <s v="UNIDAD"/>
    <n v="15700"/>
    <n v="2983"/>
    <n v="1868300"/>
    <x v="0"/>
  </r>
  <r>
    <x v="0"/>
    <s v="CONTRATO DE COMPRAVENTA Nro 5"/>
    <s v="ADQUISICIÓN DE ELEMENTOS DE BIOSEGURIDAD CONSISTENTES EN TRAJES DE PROTECCIÓN CORPORAL, MONOGAFAS CON VENTILACIÓN Y GUANTES PARA LOS SERVIDORES JUDICIALES QUE EJERCEN FUNCIONES DE CONTROL DE GARANTÍAS DEL DISTRITO JUDICIAL DE ARMENIA Y ADMINISTRATIVO DEL QUINDÍO."/>
    <d v="2020-03-20T00:00:00"/>
    <d v="2020-03-20T00:00:00"/>
    <n v="2573970"/>
    <n v="0"/>
    <s v="TECHNICAL SOLUTIONS SAFETY SAS"/>
    <n v="901095058"/>
    <s v="GUANTES NITILSAFE VERDE 13&quot;"/>
    <n v="12"/>
    <s v="PAR"/>
    <n v="6500"/>
    <n v="1235"/>
    <n v="92820"/>
    <x v="1"/>
  </r>
  <r>
    <x v="0"/>
    <s v="CONTRATO DE COMPRAVENTA Nro 5"/>
    <s v="ADQUISICIÓN DE ELEMENTOS DE BIOSEGURIDAD CONSISTENTES EN TRAJES DE PROTECCIÓN CORPORAL, MONOGAFAS CON VENTILACIÓN Y GUANTES PARA LOS SERVIDORES JUDICIALES QUE EJERCEN FUNCIONES DE CONTROL DE GARANTÍAS DEL DISTRITO JUDICIAL DE ARMENIA Y ADMINISTRATIVO DEL QUINDÍO."/>
    <d v="2020-03-20T00:00:00"/>
    <d v="2020-03-20T00:00:00"/>
    <n v="2573970"/>
    <n v="0"/>
    <s v="TECHNICAL SOLUTIONS SAFETY SAS"/>
    <n v="901095058"/>
    <s v="MONOGAFAS WIND VENTILACION DIRECTA AF ANSI Z87"/>
    <n v="50"/>
    <s v="UNIDAD"/>
    <n v="10300"/>
    <n v="1957"/>
    <n v="612850"/>
    <x v="2"/>
  </r>
  <r>
    <x v="0"/>
    <s v="CONTRATO DE SUMININISTR Nro 7"/>
    <s v="ADQUISICIÓN DE ELEMENTOS DE PROTECCIÓN PERSONAL (TAPABOCAS) PARA LOS SERVIDORES JUDICIALES DEL DISTRITO DE ARMENIA Y ADMINISTRATIVO DEL QUINDÍO PARA LA PREVENCIÓN DEL CONTAGIO DE COVID-19."/>
    <d v="2020-03-26T00:00:00"/>
    <d v="2020-03-29T00:00:00"/>
    <n v="7000000"/>
    <n v="0"/>
    <s v="C.R. DOTACIONES Y UNIFORMES S.A.S"/>
    <n v="900173793"/>
    <s v="MASCARAS FACIALES EN EMPAQUE INDIVIDUAL DESECHABLES (TAPABOCAS DESECHABELES)"/>
    <n v="7000"/>
    <s v="UNIDAD"/>
    <n v="840.33609999999999"/>
    <n v="159.663859"/>
    <n v="6999999.7129999995"/>
    <x v="3"/>
  </r>
  <r>
    <x v="0"/>
    <s v="CONTRATO DE COMPRAVENTA Nro 8"/>
    <s v="ADQUISICIÓN DE ELEMENTOS DE LIMPIEZA Y DESINFECCIÓN (JABÓN ANTIBACTERIAL Y GEL ANTIBACTERIAL) PARA EL DISTRITO JUDICIAL DE ARMENIA Y ADMINISTRATIVO DEL QUINDÍO PARA LA PREVENCIÓN DEL CONTAGIO DE COVID-19."/>
    <d v="2020-04-02T00:00:00"/>
    <d v="2020-04-07T00:00:00"/>
    <n v="11804524"/>
    <n v="0"/>
    <s v="BERHLAN DE COLOMBIA S.A.S"/>
    <n v="900742771"/>
    <s v="GEL ANTIBACTERIAL "/>
    <n v="760"/>
    <s v="LITRO"/>
    <n v="11795.263156999999"/>
    <n v="2241.0999998299999"/>
    <n v="10667635.9991908"/>
    <x v="4"/>
  </r>
  <r>
    <x v="0"/>
    <s v="CONTRATO DE COMPRAVENTA Nro 8"/>
    <s v="ADQUISICIÓN DE ELEMENTOS DE LIMPIEZA Y DESINFECCIÓN (JABÓN ANTIBACTERIAL Y GEL ANTIBACTERIAL) PARA EL DISTRITO JUDICIAL DE ARMENIA Y ADMINISTRATIVO DEL QUINDÍO PARA LA PREVENCIÓN DEL CONTAGIO DE COVID-19."/>
    <d v="2020-04-02T00:00:00"/>
    <d v="2020-04-07T00:00:00"/>
    <n v="11804524"/>
    <n v="0"/>
    <s v="BERHLAN DE COLOMBIA S.A.S"/>
    <n v="900742771"/>
    <s v="JABON ANTIBACTERIAL "/>
    <n v="108"/>
    <s v="LITRO"/>
    <n v="8846"/>
    <n v="1680.74"/>
    <n v="1136887.92"/>
    <x v="5"/>
  </r>
  <r>
    <x v="0"/>
    <s v="CONTRATO DE PRESTACIÓN DE SERVICIOS NRO. 11 "/>
    <s v="EL SERVICIO DE VIGÍAS DE SALUD, CON EL FIN DE DAR CUMPLIMIENTO AL ACUERDO PCSJA20-11567 DEL 5 DE JUNIO DE 2020, Y SUS DISPOSICIONES EN CUANTO A LA APLICACIÓN DE LOS PROTOCOLOS DE BIOSEGURIDAD, EN LAS SEDES DE MAYOR AFLUENCIA DE PERSONAS EN EL DISTRITO JUDICIAL DE ARMENIA Y ADMINISTRATIVO DEL QUINDÍO"/>
    <d v="2020-06-17T00:00:00"/>
    <d v="2020-06-17T00:00:00"/>
    <n v="42000000"/>
    <n v="0"/>
    <s v="CRUZ ROJA COLOMBIANA SECCIONAL QUINDÍO "/>
    <n v="890000547"/>
    <s v="SERVICIO DE APOYO LOGISTICO (AUXILIARES DE ENFERMERAS) 7 EN 8 HORAS DIARIAS DE LUNES A VIERNES (3.5 MESES)"/>
    <n v="6"/>
    <s v="VALOR MENSUAL POR PERSONA"/>
    <n v="2000000"/>
    <n v="0"/>
    <n v="42000000"/>
    <x v="6"/>
  </r>
  <r>
    <x v="0"/>
    <s v="ORDEN DE COMPRA NRO. 48641-48642"/>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3675000"/>
    <n v="0"/>
    <s v="GRUPO CRUZ VELASQUEZ"/>
    <n v="901243179"/>
    <s v="TAPABOCAS DESECHABLES"/>
    <n v="4000"/>
    <s v="UNIDAD"/>
    <n v="772.05880000000002"/>
    <n v="146.69117199999999"/>
    <n v="3674999.8880000003"/>
    <x v="3"/>
  </r>
  <r>
    <x v="0"/>
    <s v="ORDEN DE COMPRA NRO. 48644"/>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2546740"/>
    <n v="0"/>
    <s v="GRUPO EMPRESARIAL DE ASESORIAS Y SERVICIOS DE COLOMBIA S.A.S"/>
    <n v="900906970"/>
    <s v="PAPEL VINIPEL ROLLO MINIMO DE 12.5 CM X 200 M"/>
    <n v="130"/>
    <s v="ROLLO"/>
    <n v="16462.439999999999"/>
    <n v="3127.8635999999997"/>
    <n v="2546739.4679999999"/>
    <x v="7"/>
  </r>
  <r>
    <x v="0"/>
    <s v="ORDEN DE COMPRA NRO. 48645"/>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7646052"/>
    <n v="0"/>
    <s v="INDUHOTEL S.A.S"/>
    <n v="900300970"/>
    <s v="TOALLA PARA MANOS ROLLO LONGITUD MINIMA DE 100 METROS"/>
    <n v="400"/>
    <s v="ROLLO X 100 MTS"/>
    <n v="16063.13"/>
    <n v="3051.9946999999997"/>
    <n v="7646049.8799999999"/>
    <x v="8"/>
  </r>
  <r>
    <x v="0"/>
    <s v="ORDEN DE COMPRA NRO. 48646"/>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12450001"/>
    <n v="0"/>
    <s v="SUMIMAS S.A.S"/>
    <n v="830001338"/>
    <s v="GEL ANTIBACTERIAL "/>
    <n v="1520"/>
    <s v="LITRO"/>
    <n v="6883.0169159999996"/>
    <n v="1307.7732140399999"/>
    <n v="12450000.997660799"/>
    <x v="4"/>
  </r>
  <r>
    <x v="0"/>
    <s v="ORDEN DE COMPRA NRO. 49824"/>
    <s v="LA ADQUISICIÓN DE LAVAMANOS PARA GARANTIZAR EL CUMPLIMIENTO DE LAS NORMAS MÍNIMAS DE ASEPSIA PERMANENTE PARA LOS SERVIDORES JUDICIALES COMO PARA LOS CLIENTES EXTERNOS Y PÚBLICO EN GENERAL QUE ASISTE AL PALACIO DE JUSTICIA “FABIO CALDERÓN BOTERO” DE ARMENIA Y “RAFAEL URIBE URIBE” DE CALARCÁ QUINDÍO."/>
    <d v="2020-06-03T00:00:00"/>
    <d v="2020-06-03T00:00:00"/>
    <n v="3379880"/>
    <n v="0"/>
    <s v="COLOMBIANA DE COMERCIO S.A. Y/O ALKOSTO S.A."/>
    <n v="890900943"/>
    <s v="LAVAMANOS PEDESTAL AUTOPORTANTE EN ACERO INOXIDABLE."/>
    <n v="7"/>
    <s v="UNIDAD"/>
    <n v="405747.9"/>
    <n v="77092.10100000001"/>
    <n v="3379880.0070000002"/>
    <x v="9"/>
  </r>
  <r>
    <x v="0"/>
    <s v="ORDEN DE COMPRA NRO. 49825"/>
    <s v="LA ADQUISICIÓN DE ELEMENTOS DE PROTECCIÓN PERSONAL PARA LOS SERVIDORES JUDICIALES DEL DISTRITO DE ARMENIA Y ADMINISTRATIVO DEL QUINDÍO, PARA PREVENIR LA PROPAGACIÓN Y EL CONTAGIO DEL COVID-19."/>
    <d v="2020-06-03T00:00:00"/>
    <d v="2020-06-03T00:00:00"/>
    <n v="6047350"/>
    <n v="0"/>
    <s v="OFIBEST S.A.S"/>
    <n v="900350133"/>
    <s v="GUANTES DE NITRILO"/>
    <n v="110"/>
    <s v="CAJA X 100"/>
    <n v="46198.239999999998"/>
    <n v="8777.6656000000003"/>
    <n v="6047349.6159999995"/>
    <x v="10"/>
  </r>
  <r>
    <x v="0"/>
    <s v="ORDEN DE COMPRA NRO. 50019"/>
    <s v="LA ADQUISICIÓN DE ELEMENTOS DE PROTECCIÓN PERSONAL (CARETAS-VISORES) PARA LOS SERVIDORES JUDICIALES DISTRITO DE ARMENIA Y ADMINISTRATIVO DEL QUINDÍO, PARA LA PREVENCIÓN DEL CONTAGIO DE COVID-19"/>
    <d v="2020-06-05T00:00:00"/>
    <d v="2020-06-05T00:00:00"/>
    <n v="9023000"/>
    <n v="0"/>
    <s v="ABBAPLAX S.A.S"/>
    <n v="860062147"/>
    <s v="CARETAS VISORES (PROTECTOR FACIAL)"/>
    <n v="671"/>
    <s v="UNIDAD"/>
    <n v="11300.08"/>
    <n v="2147.0151999999998"/>
    <n v="9023000.8792000003"/>
    <x v="11"/>
  </r>
  <r>
    <x v="0"/>
    <s v="ORDEN DE COMPRA NRO. 50957"/>
    <s v="LA ADQUISICIÓN DE KIT´S DE GRIFERÍA PARA LAVAMANOS AUTOPORTANTES QUE SE VAN A UBICAR EN EL PALACIO DE JUSTICIA “FABIO CALDERÓN BOTERO” DE ARMENIA Y “RAFAEL URIBE URIBE” DE CALARCÁ QUINDÍO, CON EL FIN DE PREVENIR LA PROPAGACIÓN Y EL CONTAGIO DEL COVID-19."/>
    <d v="2020-06-25T00:00:00"/>
    <d v="2020-06-25T00:00:00"/>
    <n v="1631000"/>
    <n v="0"/>
    <s v="COLOMBIANA DE COMERCIO S.A. Y/O ALKOSTO S.A."/>
    <n v="890900943"/>
    <s v="KIT DE GRIFERIA PARA LAVAMANOS (VALVULA DE PEDAL, 2 MANGUERAS DE ENTRADA Y SALIDA, MEDIDAS 1 MT X 6,0 CM Y EL PICO"/>
    <n v="7"/>
    <s v="UNIDAD"/>
    <n v="195798.32"/>
    <n v="37201.680800000002"/>
    <n v="1631000.0056"/>
    <x v="9"/>
  </r>
  <r>
    <x v="0"/>
    <s v="ORDEN DE COMPRA NRO. 51298"/>
    <s v="LA ADQUISICIÓN DE DISPENSADORES PARA GEL Y/O JABÓN, PARA LOS SERVIDORES JUDICIALES, JUDICANTES Y USUARIOS DE LA JUSTICIA EN GENERAL DE LAS SEDES DEL DISTRITO JUDICIAL DE ARMENIA Y ADMINISTRATIVO DEL QUINDÍO, PARA PREVENIR LA PROPAGACIÓN Y EL CONTAGIO DE COVID-19."/>
    <d v="2020-06-30T00:00:00"/>
    <d v="2020-06-30T00:00:00"/>
    <n v="11342250"/>
    <n v="0"/>
    <s v="COLOMBIANA DE COMERCIO S.A. Y/O ALKOSTO S.A."/>
    <n v="890900943"/>
    <s v="DISPENSADOR DE GEL Y/O JABÓN ESTRUCTURA PVC"/>
    <n v="45"/>
    <s v="UNIDAD"/>
    <n v="211806.72"/>
    <n v="40243.2768"/>
    <n v="11342249.856000001"/>
    <x v="12"/>
  </r>
  <r>
    <x v="0"/>
    <s v="CONTRATO DE SUMINISTRO NRO. 13"/>
    <s v="SUMINISTRO E INSTALACIÓN DE PANTALLAS EN VIDRIO TEMPLADO Y ACERO, QUE GARANTICEN LA PROTECCIÓN Y DISTANCIAMIENTO SOCIAL ENTRE LOS SERVIDORES JUDICIALES Y PÚBLICO EN GENERAL QUE ASISTE A LAS INSTALACIONES DONDE FUNCIONAN Y ADMINISTRAN JUSTICIA LOS JUECES DE LOS MUNICIPIOS QUE PERTENECEN AL DEPARTAMENTO DEL QUINDÍO Y ALGUNAS SEDES JUDICIALES EN ARMENIA QUINDÍO, CON EL FIN DE MITIGAR Y CONTROLAR LA PROPAGACIÓN DEL VIRUS COVID-19”."/>
    <d v="2020-07-17T00:00:00"/>
    <d v="2020-07-27T00:00:00"/>
    <n v="17828727"/>
    <n v="0"/>
    <s v="JUAN DAVID ECHEVERRY PAEZ"/>
    <n v="1030574087"/>
    <s v="PANTALLA MODULAR EN VIDRIO TEMPLADO DE 6MM, CON TUBO DE SUJECCIÓN DE 1 1/4 DE ACERO Y HERRAJE - DE 1.00 MT X 080 MTS DE ALTURA"/>
    <n v="60"/>
    <s v="UNIDAD"/>
    <n v="297145.45"/>
    <n v="0"/>
    <n v="17828727"/>
    <x v="13"/>
  </r>
  <r>
    <x v="0"/>
    <s v="ORDEN DE COMPRA NRO. 53415"/>
    <s v="ALQUILER DE ESCÁNERES CON EL FIN DE GARANTIZAR LA DIGITALIZACIÓN DE LOS EXPEDIENTES JUDICIALES PARA LA RAMA JUDICIAL EN EL DISTRITO JUDICIAL DE ARMENIA Y ADMINISTRATIVO DEL QUINDÍO"/>
    <d v="2020-08-11T00:00:00"/>
    <d v="2020-09-01T00:00:00"/>
    <n v="37425024"/>
    <n v="0"/>
    <s v="SOLUTION COPY LTDA"/>
    <n v="830053669"/>
    <s v="ESCANER VERTICAL A4 MINIMO 6.000 PAGINA, MINIMO 60PPM"/>
    <n v="78"/>
    <s v="VALOR MENSUAL POR EQUIPO"/>
    <n v="134400"/>
    <n v="25536"/>
    <n v="37425024"/>
    <x v="14"/>
  </r>
  <r>
    <x v="1"/>
    <s v="ORDEN DE COMPRA NRO. 52500"/>
    <s v="ADQUISICIÓN DE CANECAS DE PEDAL DE COLOR NEGRO, DESTINADAS PARA LA DISPOSICIÓN FINAL DE LOS TAPABOCAS Y GUANTES DESECHABLES PARA CADA UNA DE LAS SEDES JUDICIALES DEL DISTRITO JUDICIAL Y ADMINISTRATIVO DEL QUINDÍO"/>
    <d v="2020-07-23T00:00:00"/>
    <d v="2020-07-23T00:00:00"/>
    <n v="3474800"/>
    <n v="0"/>
    <s v="PANAMERICANA LIBRERÍA Y_x000a_PAPELERÍA S.A."/>
    <n v="830037946"/>
    <s v="PAPELERA DE PEDAL CUADRADA NEGRA DE 20 LITROS MATERIAL PLASTICO"/>
    <n v="73"/>
    <s v="UNIDAD"/>
    <n v="47600"/>
    <n v="0"/>
    <n v="3474800"/>
    <x v="15"/>
  </r>
  <r>
    <x v="1"/>
    <s v="ORDEN DE COMPRA NRO. 42170"/>
    <s v="LA PRESTACIÓN DE LOS SERVICIOS DE ASEO, MANTENIMIENTO Y SUMINISTRO DE ELEMENTOS DE ASEO Y CAFETERÍA, PARA LAS SEDES DONDE FUNCIONAN LOS DESPACHOS JUDICIALES Y SEDES ADMINISTRATIVAS A CARGO DE LA DIRECCIÓN SECCIONAL DE ADMINISTRACIÓN JUDICIAL DE ARMENIA, QUINDÍO.”"/>
    <d v="2020-07-02T00:00:00"/>
    <d v="2020-07-02T00:00:00"/>
    <n v="64760194"/>
    <n v="0"/>
    <s v="LADOINSA LABORES DOTACIONES INDUSTRIALES S.A.S"/>
    <n v="800242738"/>
    <s v="OPERARIO DE ASEO "/>
    <n v="13"/>
    <s v="VALOR MENSUAL POR PERSONA"/>
    <n v="1258206.6399999999"/>
    <n v="239059.26159999997"/>
    <n v="64760193.955773689"/>
    <x v="16"/>
  </r>
  <r>
    <x v="2"/>
    <s v="010-2020"/>
    <s v="CONTRATAR EL SUMINISTRO DE ELEMENTOS Y MATERIALES NECESARIOS PARA ATENDER LA URGENCIA MANIFIESTA Y PREVENIR EL CONTAGIO DEL COVID-19."/>
    <d v="2020-03-18T00:00:00"/>
    <d v="2020-03-18T00:00:00"/>
    <n v="7176804"/>
    <n v="0"/>
    <s v="ESTRATEGIAS S.A.S"/>
    <n v="800031358"/>
    <s v="BLANQUEADOR MARCA PROPIA HIPOCLORITO 5,25% CUÑETE 5GL "/>
    <n v="400"/>
    <s v="LITRO"/>
    <n v="2158.35"/>
    <n v="410.0865"/>
    <n v="1027374.5999999999"/>
    <x v="17"/>
  </r>
  <r>
    <x v="2"/>
    <s v="010-2020"/>
    <s v="CONTRATAR EL SUMINISTRO DE ELEMENTOS Y MATERIALES NECESARIOS PARA ATENDER LA URGENCIA MANIFIESTA Y PREVENIR EL CONTAGIO DEL COVID-19."/>
    <d v="2020-03-18T00:00:00"/>
    <d v="2020-03-18T00:00:00"/>
    <n v="7176804"/>
    <n v="0"/>
    <s v="ESTRATEGIAS S.A.S"/>
    <n v="800031358"/>
    <s v="GUANTE LATEX SIN POLVO TALLA L (CAJA X 100)"/>
    <n v="18"/>
    <s v="CAJA X 100"/>
    <n v="14000.000000000002"/>
    <n v="2660.0000000000005"/>
    <n v="299880.00000000006"/>
    <x v="18"/>
  </r>
  <r>
    <x v="2"/>
    <s v="010-2020"/>
    <s v="CONTRATAR EL SUMINISTRO DE ELEMENTOS Y MATERIALES NECESARIOS PARA ATENDER LA URGENCIA MANIFIESTA Y PREVENIR EL CONTAGIO DEL COVID-19."/>
    <d v="2020-03-18T00:00:00"/>
    <d v="2020-03-18T00:00:00"/>
    <n v="7176804"/>
    <n v="0"/>
    <s v="ESTRATEGIAS S.A.S"/>
    <n v="800031358"/>
    <s v="GUANTE LATEX SIN POLVO TALLA M (CAJA X 100)"/>
    <n v="18"/>
    <s v="CAJA X 100"/>
    <n v="14000.000000000002"/>
    <n v="2660.0000000000005"/>
    <n v="299880.00000000006"/>
    <x v="18"/>
  </r>
  <r>
    <x v="2"/>
    <s v="010-2020"/>
    <s v="CONTRATAR EL SUMINISTRO DE ELEMENTOS Y MATERIALES NECESARIOS PARA ATENDER LA URGENCIA MANIFIESTA Y PREVENIR EL CONTAGIO DEL COVID-19."/>
    <d v="2020-03-18T00:00:00"/>
    <d v="2020-03-18T00:00:00"/>
    <n v="7176804"/>
    <n v="0"/>
    <s v="ESTRATEGIAS S.A.S"/>
    <n v="800031358"/>
    <s v="JABON LIQUIDO DE MANOS ANTIBACTERIAL PERLADO GALON 3785 CC"/>
    <n v="68"/>
    <s v="LITRO"/>
    <n v="6229.25"/>
    <n v="1183.5575000000001"/>
    <n v="504070.91"/>
    <x v="5"/>
  </r>
  <r>
    <x v="2"/>
    <s v="010-2020"/>
    <s v="CONTRATAR EL SUMINISTRO DE ELEMENTOS Y MATERIALES NECESARIOS PARA ATENDER LA URGENCIA MANIFIESTA Y PREVENIR EL CONTAGIO DEL COVID-19."/>
    <d v="2020-03-18T00:00:00"/>
    <d v="2020-03-18T00:00:00"/>
    <n v="7176804"/>
    <n v="0"/>
    <s v="ESTRATEGIAS S.A.S"/>
    <n v="800031358"/>
    <s v="TOALLA DE MANOS DOBLADA EN Z HOJA X 150 HOJAS"/>
    <n v="703"/>
    <s v="PAQUETE X 150"/>
    <n v="4133"/>
    <n v="785.27"/>
    <n v="3457543.8100000005"/>
    <x v="8"/>
  </r>
  <r>
    <x v="2"/>
    <s v="010-2020"/>
    <s v="CONTRATAR EL SUMINISTRO DE ELEMENTOS Y MATERIALES NECESARIOS PARA ATENDER LA URGENCIA MANIFIESTA Y PREVENIR EL CONTAGIO DEL COVID-19."/>
    <d v="2020-03-18T00:00:00"/>
    <d v="2020-03-18T00:00:00"/>
    <n v="7176804"/>
    <n v="0"/>
    <s v="ESTRATEGIAS S.A.S"/>
    <n v="800031358"/>
    <s v="TRAJE KLEENGUARD A35 CONTRA LIQUIDO"/>
    <n v="100"/>
    <s v="UNIDAD"/>
    <n v="13345.000000000002"/>
    <n v="2535.5500000000002"/>
    <n v="1588055.0000000002"/>
    <x v="0"/>
  </r>
  <r>
    <x v="2"/>
    <s v="011-2020"/>
    <s v="CONTRATAR LA PRESTACIÓN DEL SERVICIO DE MANTENIMIENTO CORRECTIVO DE LAS TERMINALES DE MEDIA TENSIÓN Y ACOMETIDA PRINCIPAL DEL EDIFICIO LARA BONILLA DENTRO DE LA URGENCIA MANIFIESTA DECRETADA POR EL COVID-19."/>
    <d v="2020-04-24T00:00:00"/>
    <d v="2020-04-24T00:00:00"/>
    <n v="5103664"/>
    <n v="0"/>
    <s v="SELECTRIK S.A.S"/>
    <n v="900843992"/>
    <s v="MANTENIMIENTO CORRECTIVO DE  LAS  TERMINALES  DE  MEDIA  TENSIÓN Y ACOMETIDA PRINCIPAL   DEL   EDIFICIO   LARA   BONILLA"/>
    <n v="1"/>
    <s v="SERVICIO"/>
    <n v="4288793"/>
    <n v="814870.67"/>
    <n v="5103663.67"/>
    <x v="19"/>
  </r>
  <r>
    <x v="2"/>
    <s v="017-2020"/>
    <s v="CONTRATAR LA ADQUISICIÓN DE ALCOHOL Y TOALLAS DESECHABLES, PARA MEDIDAS DE AUTOCUIDADO Y COLECTIVAS PARA EL REGRESO A LOS DIFERENTES AMBIENTES LABORALES, MITIGANDO Y CONTENIENDO EL CONTAGIO DE COVID-19 EN LOS SERVIDORES DE LA RAMA JUDICIAL DE LOS DESPACHOS JUDICIALES Y SEDES ADMINISTRATIVAS, A TRAVÉS DEL LAVADO DE MANOS.."/>
    <d v="2020-05-15T00:00:00"/>
    <d v="2020-05-15T00:00:00"/>
    <n v="10515900"/>
    <n v="0"/>
    <s v="SUMIMAS S.A.S."/>
    <n v="830001338"/>
    <s v="TOALLA PARA MANOS 3 UND"/>
    <n v="1000"/>
    <s v="PAQUETE X 150"/>
    <n v="5373"/>
    <n v="0"/>
    <n v="5373000"/>
    <x v="8"/>
  </r>
  <r>
    <x v="2"/>
    <s v="017-2020"/>
    <s v="CONTRATAR LA ADQUISICIÓN DE ALCOHOL Y TOALLAS DESECHABLES, PARA MEDIDAS DE AUTOCUIDADO Y COLECTIVAS PARA EL REGRESO A LOS DIFERENTES AMBIENTES LABORALES, MITIGANDO Y CONTENIENDO EL CONTAGIO DE COVID-19 EN LOS SERVIDORES DE LA RAMA JUDICIAL DE LOS DESPACHOS JUDICIALES Y SEDES ADMINISTRATIVAS, A TRAVÉS DEL LAVADO DE MANOS.."/>
    <d v="2020-05-15T00:00:00"/>
    <d v="2020-05-15T00:00:00"/>
    <n v="10515900"/>
    <n v="0"/>
    <s v="SUMIMAS S.A.S."/>
    <n v="830001338"/>
    <s v="ALCOHOL GALON X3.750 ML - GALON"/>
    <n v="400"/>
    <s v="LITRO"/>
    <n v="12857.25"/>
    <n v="0"/>
    <n v="5142900"/>
    <x v="20"/>
  </r>
  <r>
    <x v="2"/>
    <s v="018-2020"/>
    <s v="CONTRATAR LA ADQUISICIÓN DE ALCOHOL ISOPROPILICO PARA MEDIDAS DE AUTOCUIDADO Y COLECTIVAS PARA EL REGRESO A LOS DIFERENTES AMBIENTES LABORALES, MITIGANDO Y CONTENIENDO EL CONTAGIO DE COVID-19 EN LOS SERVIDORES DE LA RAMA JUDICIAL DE LOS DESPACHOS JUDICIALES Y SEDES ADMINISTRATIVAS."/>
    <d v="2020-05-15T00:00:00"/>
    <d v="2020-05-15T00:00:00"/>
    <n v="11191700"/>
    <n v="0"/>
    <s v="SOLUCIONES EN PROTECCION S.A.S."/>
    <n v="80736955"/>
    <s v="ALCOHOL ISOPROPILICO 70% EN GEL PARA ANTISEPSIA 500ML "/>
    <n v="500"/>
    <s v="LITRO"/>
    <n v="21598"/>
    <n v="0"/>
    <n v="10799000"/>
    <x v="20"/>
  </r>
  <r>
    <x v="2"/>
    <s v="019-2020"/>
    <s v="CONTRATAR EN NOMBRE DE LA NACIÓN – CONSEJO SUPERIOR LA JUDICATURA LA ADQUISICIÓN DE JABÓN LÍQUIDO, PARA MEDIDAS DE AUTOCUIDADO Y COLECTIVAS PARA EL REGRESO A LOS DIFERENTES AMBIENTES LABORALES, MITIGANDO Y CONTENIENDO EL CONTAGIO DE COVID-19 EN LOS SERVIDORES DE LA RAMA JUDICIAL DE LOS DESPACHOS JUDICIALES Y SEDES ADMINISTRATIVAS, A TRAVÉS DEL LAVADO DE MANOS."/>
    <d v="2020-05-18T00:00:00"/>
    <d v="2020-05-18T00:00:00"/>
    <n v="5600000"/>
    <n v="0"/>
    <s v="PANAMERICANA Y LIBRERIA S.A."/>
    <n v="830037946"/>
    <s v="JABON LIQUIDO PARA MANOS ANTIBACTERIAL 500C/V"/>
    <n v="500"/>
    <s v="LITRO"/>
    <n v="11200"/>
    <n v="0"/>
    <n v="5600000"/>
    <x v="5"/>
  </r>
  <r>
    <x v="2"/>
    <s v="020-2020"/>
    <s v="CONTRATAR LA ADQUISICIÓN DE GUANTES DE NITRILO, PARA MEDIDAS DE AUTOCUIDADO Y COLECTIVAS PARA EL REGRESO A LOS DIFERENTES AMBIENTES LABORALES, MITIGANDO Y CONTENIENDO EL CONTAGIO DE COVID-19 EN LOS SERVIDORES JUDICIALES Y USUARIOS DE LA RAMA JUDICIAL DE LOS DESPACHOS JUDICIALES Y SEDES ADMINISTRATIVAS."/>
    <d v="2020-05-18T00:00:00"/>
    <d v="2020-05-18T00:00:00"/>
    <n v="6890700"/>
    <n v="0"/>
    <s v="CENCOSUD COLOMBIA S.A."/>
    <n v="900155107"/>
    <s v="GUANTES DE NITRILO CAJA X 100 UNIDADES"/>
    <n v="100"/>
    <s v="CAJA X 100"/>
    <n v="68907"/>
    <n v="0"/>
    <n v="6890700"/>
    <x v="10"/>
  </r>
  <r>
    <x v="2"/>
    <s v="021-2020"/>
    <s v="CONTRATAR EN NOMBRE DE LA NACIÓN – CONSEJO SUPERIOR LA JUDICATURA LA ADQUISICIÓN DE TAPABOCAS DESECHABLES PARA MEDIDAS DE AUTOCUIDADO Y COLECTIVAS PARA EL REGRESO A LOS DIFERENTES AMBIENTES LABORALES, MITIGANDO Y CONTENIENDO EL CONTAGIO DE COVID-19 EN LOS SERVIDORES JUDICIALES DE LA RAMA JUDICIAL DE LOS DESPACHOS JUDICIALES Y SEDES ADMINISTRATIVAS."/>
    <d v="2020-05-20T00:00:00"/>
    <d v="2020-05-18T00:00:00"/>
    <n v="7686300"/>
    <n v="0"/>
    <s v="CENCOSUD COLOMBIA S.A."/>
    <n v="900155107"/>
    <s v="TAPABOCAS QUIRURGICO"/>
    <n v="5000"/>
    <s v="UNIDAD"/>
    <n v="1537.26"/>
    <n v="0"/>
    <n v="7686300"/>
    <x v="3"/>
  </r>
  <r>
    <x v="2"/>
    <s v="022-2020"/>
    <s v="CONTRATAR LA ADQUISICIÓN DE ELEMENTOS DE PROTECCIÓN PERSONAL, TAPABOCAS DE TELA, PARA MEDIDAS DE AUTOCUIDADO Y COLECTIVAS EN EL REGRESO A LOS DIFERENTES AMBIENTES LABORALES, PARA CONTENER EL CONTAGIO DEL COVID-19 EN LOS SERVIDORES DE LOS DESPACHOS JUDICIALES Y SEDES ADMINISTRATIVAS."/>
    <d v="2020-06-01T00:00:00"/>
    <d v="2020-06-01T00:00:00"/>
    <n v="20300000"/>
    <n v="0"/>
    <s v="CONFECCIONES EL INDUSTRIAL LTDA"/>
    <n v="890106665"/>
    <s v="TAPABOCAS TELA REUTILIZABLES"/>
    <n v="7000"/>
    <s v="UNIDAD"/>
    <n v="2900"/>
    <n v="0"/>
    <n v="20300000"/>
    <x v="3"/>
  </r>
  <r>
    <x v="2"/>
    <s v="023-2020"/>
    <s v="CONTRATAR LA ADQUISICIÓN DE ELEMENTOS DE PROTECCIÓN PERSONAL, TERMÓMETROS DIGITALES Y BAYETILLAS MÉDICAS, PARA MEDIDAS DE AUTOCUIDADO Y COLECTIVAS EN EL REGRESO A LOS DIFERENTES AMBIENTES LABORALES, PARA CONTENER EL CONTAGIO DEL COVID-19 EN LOS SERVIDORES DE LOS DESPACHOS JUDICIALES Y SEDES ADMINISTRATIVAS."/>
    <d v="2020-06-02T00:00:00"/>
    <d v="2020-06-02T00:00:00"/>
    <n v="12960000"/>
    <n v="0"/>
    <s v="DISTRIBUCIONES PROVEMEDICS S.A.S"/>
    <n v="900616935"/>
    <s v="TERMOMETRO INFRAROJO"/>
    <n v="12"/>
    <s v="UNIDAD"/>
    <n v="330000"/>
    <n v="0"/>
    <n v="3960000"/>
    <x v="21"/>
  </r>
  <r>
    <x v="2"/>
    <s v="023-2020"/>
    <s v="CONTRATAR LA ADQUISICIÓN DE ELEMENTOS DE PROTECCIÓN PERSONAL, TERMÓMETROS DIGITALES Y BAYETILLAS MÉDICAS, PARA MEDIDAS DE AUTOCUIDADO Y COLECTIVAS EN EL REGRESO A LOS DIFERENTES AMBIENTES LABORALES, PARA CONTENER EL CONTAGIO DEL COVID-19 EN LOS SERVIDORES DE LOS DESPACHOS JUDICIALES Y SEDES ADMINISTRATIVAS."/>
    <d v="2020-06-02T00:00:00"/>
    <d v="2020-06-02T00:00:00"/>
    <n v="12960000"/>
    <n v="0"/>
    <s v="DISTRIBUCIONES PROVEMEDICS S.A.S"/>
    <n v="900616935"/>
    <s v="BAYETILLAS 36 X 60 CMS MARCA HR"/>
    <n v="3000"/>
    <s v="UNIDAD"/>
    <n v="3000"/>
    <n v="0"/>
    <n v="9000000"/>
    <x v="22"/>
  </r>
  <r>
    <x v="2"/>
    <s v="024-2020"/>
    <s v="CONTRATAR EL SUMINISTRO DE LAVAMANOS PORTÁTILES AUTÓNOMOS EN ACERO INOXIDABLE PARA ATENDER LA URGENCIA MANIFIESTA Y FORTALECER LAS MEDIDAS DE PREVENCIÓN DEL CONTAGIO Y LA PROPAGACIÓN DEL COVID-19."/>
    <d v="2020-06-08T00:00:00"/>
    <d v="2020-06-10T00:00:00"/>
    <n v="20349000"/>
    <n v="0"/>
    <s v="MONTAJES ACERO INOXIDABLE GUINOVART S.A.S."/>
    <n v="901094895"/>
    <s v="LAVAMANOS PORTATIL AUTONOMO"/>
    <n v="18"/>
    <s v="UNIDAD"/>
    <n v="950000"/>
    <n v="180500"/>
    <n v="20349000"/>
    <x v="9"/>
  </r>
  <r>
    <x v="2"/>
    <s v="026-2020"/>
    <s v="CONTRATAR  LA PRESTACIÓN DE SERVICIOS DE PERSONAL DE APOYO A LA GESTIÓN PARA VELAR POR EL CUMPLIMIENTO DE LOS PROTOCOLOS DE BIOSEGURIDAD ESTABLECIDOS POR LA RAMA JUDICIAL Y FORTALECER LAS MEDIDAS DE PREVENCIÓN DEL CONTAGIO Y DE LA PROPAGACIÓN DEL COVID -19."/>
    <d v="2020-07-01T00:00:00"/>
    <d v="2020-07-01T00:00:00"/>
    <n v="43680000"/>
    <n v="0"/>
    <s v="SERVICIOS INTEGRALES DEL CARIBE SV LTDA.  "/>
    <n v="900008801"/>
    <s v="SERVICIO DE APOYO LOGISTICO (ENFERMERAS) 7 EN 8 HORAS DIARIAS DE LUNES A VIERNES"/>
    <n v="7"/>
    <s v="VALOR MENSUAL POR PERSONA"/>
    <n v="1310924.3697478992"/>
    <n v="249075.63025210085"/>
    <n v="10920000"/>
    <x v="6"/>
  </r>
  <r>
    <x v="2"/>
    <s v="026-2020"/>
    <s v="CONTRATAR  LA PRESTACIÓN DE SERVICIOS DE PERSONAL DE APOYO A LA GESTIÓN PARA VELAR POR EL CUMPLIMIENTO DE LOS PROTOCOLOS DE BIOSEGURIDAD ESTABLECIDOS POR LA RAMA JUDICIAL Y FORTALECER LAS MEDIDAS DE PREVENCIÓN DEL CONTAGIO Y DE LA PROPAGACIÓN DEL COVID -19."/>
    <d v="2020-07-01T00:00:00"/>
    <d v="2020-07-01T00:00:00"/>
    <n v="43680000"/>
    <n v="0"/>
    <s v="SERVICIOS INTEGRALES DEL CARIBE SV LTDA.  "/>
    <n v="900008801"/>
    <s v="SERVICIO DE APOYO LOGISTICO (ENFERMERAS) 7 EN 8 HORAS DIARIAS DE LUNES A VIERNES"/>
    <n v="7"/>
    <s v="VALOR MENSUAL POR PERSONA"/>
    <n v="1310924.3697478992"/>
    <n v="249075.63025210085"/>
    <n v="10920000"/>
    <x v="6"/>
  </r>
  <r>
    <x v="2"/>
    <s v="026-2020"/>
    <s v="CONTRATAR  LA PRESTACIÓN DE SERVICIOS DE PERSONAL DE APOYO A LA GESTIÓN PARA VELAR POR EL CUMPLIMIENTO DE LOS PROTOCOLOS DE BIOSEGURIDAD ESTABLECIDOS POR LA RAMA JUDICIAL Y FORTALECER LAS MEDIDAS DE PREVENCIÓN DEL CONTAGIO Y DE LA PROPAGACIÓN DEL COVID -19."/>
    <d v="2020-07-01T00:00:00"/>
    <d v="2020-07-01T00:00:00"/>
    <n v="43680000"/>
    <n v="0"/>
    <s v="SERVICIOS INTEGRALES DEL CARIBE SV LTDA.  "/>
    <n v="900008801"/>
    <s v="SERVICIO DE APOYO LOGISTICO (ENFERMERAS) 7 EN 8 HORAS DIARIAS DE LUNES A VIERNES"/>
    <n v="7"/>
    <s v="VALOR MENSUAL POR PERSONA"/>
    <n v="1310924.3697478992"/>
    <n v="249075.63025210085"/>
    <n v="10920000"/>
    <x v="6"/>
  </r>
  <r>
    <x v="2"/>
    <s v="026-2020"/>
    <s v="CONTRATAR  LA PRESTACIÓN DE SERVICIOS DE PERSONAL DE APOYO A LA GESTIÓN PARA VELAR POR EL CUMPLIMIENTO DE LOS PROTOCOLOS DE BIOSEGURIDAD ESTABLECIDOS POR LA RAMA JUDICIAL Y FORTALECER LAS MEDIDAS DE PREVENCIÓN DEL CONTAGIO Y DE LA PROPAGACIÓN DEL COVID -19."/>
    <d v="2020-07-01T00:00:00"/>
    <d v="2020-07-01T00:00:00"/>
    <n v="43680000"/>
    <n v="0"/>
    <s v="SERVICIOS INTEGRALES DEL CARIBE SV LTDA.  "/>
    <n v="900008801"/>
    <s v="SERVICIO DE APOYO LOGISTICO (ENFERMERAS) 7 EN 8 HORAS DIARIAS DE LUNES A VIERNES"/>
    <n v="7"/>
    <s v="VALOR MENSUAL POR PERSONA"/>
    <n v="1310924.3697478992"/>
    <n v="249075.63025210085"/>
    <n v="10920000"/>
    <x v="6"/>
  </r>
  <r>
    <x v="3"/>
    <s v="006-2020"/>
    <s v="CONTRATAR LA PRESTACION DE SERVICIO DE ATENCIÓN DE URGENCIAS Y EMERGENCIAS MEDICAS EN SITIO, PARA TODOS LOS SERVIDORES , CONTRATISTAS, PROVEEDORES Y USUARIOS DE LA ADMINISTRACIÓN DE JUSTICIA DE LAS SEDES DE MAYOR CONCENTRACION POBLACIONAL A CARGO DE LA DIRECCIÓN EJECUTIVA SECCIONAL DE ADMINITRACIÓN JUDICIAL BOGOTÁ - CUNDINAMARCA"/>
    <d v="2020-03-25T00:00:00"/>
    <d v="2020-04-01T00:00:00"/>
    <n v="185523408"/>
    <n v="0"/>
    <s v="EMERMEDICA S.A "/>
    <n v="800126785"/>
    <s v="SERVICIO DE AREAS PROTEGIDAS TIPO A:SERVICIO QUE CONTARÁ UN PROFESIONAL DE LA SALUD (CON COMPETENCIA DE ATENCIÓN PRE-HOSPITALARIA) QUE  CUMPLA  TURNO  DE  7,30 AM  A 5,30 PM DE LUNES A VIERNES, EN  CADA UNA DE LAS SEDES OBJETIVO; QUIEN ATENDERÁ TODOS LOS CASOS DE EMERGENCIAS, URGENCIAS MÉDICAS, Y EVENTOS RELACIONADOS CON ENFERMEDADES GENERALES, ACCIDENTES DE TRABAJO, ETC. TAMBIÉN CONTARÁ CON UN RESPALDO DE  ASESORIA MÉDICA EN  LINEA (WEB - TELEFONICA) Y CUBRIMIENTO DEL SERVICIO CON UNA AMBULANCIA,  SEGÚN SE DETERMINE EN LAS SEDES OBJETIVO POR 7 MESES"/>
    <n v="6"/>
    <s v="VALOR MENSUAL POR PERSONA"/>
    <n v="3222785"/>
    <n v="0"/>
    <n v="135356970"/>
    <x v="23"/>
  </r>
  <r>
    <x v="3"/>
    <s v="006-2020"/>
    <s v="CONTRATAR LA PRESTACION DE SERVICIO DE ATENCIÓN DE URGENCIAS Y EMERGENCIAS MEDICAS EN SITIO, PARA TODOS LOS SERVIDORES , CONTRATISTAS, PROVEEDORES Y USUARIOS DE LA ADMINISTRACIÓN DE JUSTICIA DE LAS SEDES DE MAYOR CONCENTRACION POBLACIONAL A CARGO DE LA DIRECCIÓN EJECUTIVA SECCIONAL DE ADMINITRACIÓN JUDICIAL BOGOTÁ - CUNDINAMARCA"/>
    <d v="2020-03-25T00:00:00"/>
    <d v="2020-04-01T00:00:00"/>
    <n v="185523408"/>
    <n v="0"/>
    <s v="EMERMEDICA S.A "/>
    <n v="800126785"/>
    <s v="SERVICIO DE ÁREAS PROTEGIDAS TIPO B : SERVICIO QUE CONTARÁ CON CUBRIMIENTO DE LAS AMBULANCIAS DE TRANSPORTE ASISTENCIAL BÁSICO (TAB), QUE ATENDERÁ TODOS LOS CASOS DE EMERGENCIAS Y/O URGENCIAS QUE SE PRESENTEN EN EL ÁREA DEFINIDA EN LOS TIEMPOS ESTABLECIDOS SEGÚN LA CLASIFICACIÓN DEL TRIAGE, DURANTE LAS 24 HORAS DEL DÍA Y DENTRO DE LA VIGENCIA DEL CONTRATO Y CUBRE A TODAS LAS PERSONAS QUE SE ENCUENTRAN DENTRO DE DICHA ÁREA, COMO SON EMPLEADOS, FUNCIONARIOS, CONTRATISTAS, PROVEEDORES Y USUARIOS POR 7 MESES"/>
    <n v="21"/>
    <s v="VALOR MENSUAL POR PERSONA"/>
    <n v="341189"/>
    <n v="0"/>
    <n v="50154783"/>
    <x v="23"/>
  </r>
  <r>
    <x v="3"/>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GEL ANTIBACTERIAL"/>
    <n v="750"/>
    <s v="LITRO"/>
    <n v="36400"/>
    <n v="0"/>
    <n v="27300000"/>
    <x v="4"/>
  </r>
  <r>
    <x v="3"/>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TOALLAS DE MANOS PAQUETE X 150"/>
    <n v="2000"/>
    <s v="PAQUETE X 150"/>
    <n v="6500"/>
    <n v="0"/>
    <n v="13000000"/>
    <x v="8"/>
  </r>
  <r>
    <x v="3"/>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TAPABOCAS QUIRURGICO"/>
    <n v="150000"/>
    <s v="UNIDAD"/>
    <n v="910"/>
    <n v="0"/>
    <n v="136500000"/>
    <x v="3"/>
  </r>
  <r>
    <x v="3"/>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ALCOHOL ANTISEPTICOBOTELLA 750 ML"/>
    <n v="1150"/>
    <s v="LITRO"/>
    <n v="9750"/>
    <n v="0"/>
    <n v="11212500"/>
    <x v="20"/>
  </r>
  <r>
    <x v="3"/>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PAPEL HIGIENICO BLANCOROLLO X 30 MTS"/>
    <n v="2050"/>
    <s v="ROLLO X 30 MTS"/>
    <n v="1300"/>
    <n v="0"/>
    <n v="2665000"/>
    <x v="24"/>
  </r>
  <r>
    <x v="3"/>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GUANTES DE LATEX PAQUETE X 100"/>
    <n v="1500"/>
    <s v="CAJA X 100"/>
    <n v="19500"/>
    <n v="0"/>
    <n v="29250000"/>
    <x v="18"/>
  </r>
  <r>
    <x v="3"/>
    <s v="009-2020"/>
    <s v="ADQUISICIÓN DE 58 COMPUTADORES PORTÁTILES, DE LAS SIGUIENTES CARACTERÍSTICAS: PROCESADOR INTEL CORE I5, UNIDAD DE ALMACENAMIENTO 1 TB, MEMORIA RAM 8GB, CÁMARA Y MICRÓFONO INTEGRADO HD720P, CONECTOR RJ-45 100/1000 M, LECTOR DE HUELLAS, UNIDAD DVD CONEXIÓN EXTERNA USB, SISTEMA OPERATIVO WINDOWS 10 PRO 64 – ESPAÑOL CON SU RESPECTIVA LICENCIAS DE MICROSOFT OFFICE 2019 STD GOVERNMENT OLP 1 LICENSE NOLEVEL,  PARA USO DE LOS FUNCIONARIOS JUDICIALES Y DEMÁS SERVIDORES PÚBLICOS ADSCRITOS A  LAS SEDES JUDICIALES Y ADMINISTRATIVAS A CARGO DE LA DIRECCIÓN EJECUTIVA SECCIONAL DE ADMINISTRACIÓN JUDICIAL BOGOTÁ – CUNDINAMARCA."/>
    <d v="2020-04-03T00:00:00"/>
    <d v="2020-04-06T00:00:00"/>
    <n v="298166400"/>
    <n v="0"/>
    <s v="CDG TECNOLOGIA S.A.S"/>
    <n v="900594755"/>
    <s v="ADQUISICION COMPUTADORES PORTATILES"/>
    <n v="58"/>
    <s v="UNIDAD"/>
    <n v="2980000"/>
    <n v="566200"/>
    <n v="205679600"/>
    <x v="25"/>
  </r>
  <r>
    <x v="3"/>
    <s v="009-2020"/>
    <s v="ADQUISICIÓN DE 58 COMPUTADORES PORTÁTILES, DE LAS SIGUIENTES CARACTERÍSTICAS: PROCESADOR INTEL CORE I5, UNIDAD DE ALMACENAMIENTO 1 TB, MEMORIA RAM 8GB, CÁMARA Y MICRÓFONO INTEGRADO HD720P, CONECTOR RJ-45 100/1000 M, LECTOR DE HUELLAS, UNIDAD DVD CONEXIÓN EXTERNA USB, SISTEMA OPERATIVO WINDOWS 10 PRO 64 – ESPAÑOL CON SU RESPECTIVA LICENCIAS DE MICROSOFT OFFICE 2019 STD GOVERNMENT OLP 1 LICENSE NOLEVEL,  PARA USO DE LOS FUNCIONARIOS JUDICIALES Y DEMÁS SERVIDORES PÚBLICOS ADSCRITOS A  LAS SEDES JUDICIALES Y ADMINISTRATIVAS A CARGO DE LA DIRECCIÓN EJECUTIVA SECCIONAL DE ADMINISTRACIÓN JUDICIAL BOGOTÁ – CUNDINAMARCA."/>
    <d v="2020-04-03T00:00:00"/>
    <d v="2020-04-06T00:00:00"/>
    <n v="298166400"/>
    <n v="0"/>
    <s v="CDG TECNOLOGIA S.A.S"/>
    <n v="900594755"/>
    <s v="ADQUISICION LICENCIAS"/>
    <n v="58"/>
    <s v="UNIDAD"/>
    <n v="1340000"/>
    <n v="254600"/>
    <n v="92486800"/>
    <x v="26"/>
  </r>
  <r>
    <x v="3"/>
    <s v="015-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7T00:00:00"/>
    <d v="2020-04-29T00:00:00"/>
    <n v="7000000"/>
    <n v="0"/>
    <s v="VALENTINA ORJUELA ORDOÑEZ"/>
    <n v="1024582398"/>
    <s v="SERVICIOS DE GESTION, SERVICIOS PROFESIONALES (ADMINISTRADOR TEMPORAL DE BASES DE DATOS O DE SISTEMAS DE TECNOLOGIA DE LA INFORMACION) (POR 2 MESES)"/>
    <n v="1"/>
    <s v="VALOR MENSUAL POR PERSONA"/>
    <n v="3500000"/>
    <n v="0"/>
    <n v="7000000"/>
    <x v="27"/>
  </r>
  <r>
    <x v="3"/>
    <s v="016-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7T00:00:00"/>
    <d v="2020-04-29T00:00:00"/>
    <n v="7000000"/>
    <n v="0"/>
    <s v="EDWIN GIOVANNI DURAN PARDO"/>
    <n v="80004109"/>
    <s v="SERVICIOS DE GESTION, SERVICIOS PROFESIONALES (ADMINISTRADOR TEMPORAL DE BASES DE DATOS O DE SISTEMAS DE TECNOLOGIA DE LA INFORMACION) (POR 2 MESES)"/>
    <n v="1"/>
    <s v="VALOR MENSUAL POR PERSONA"/>
    <n v="3500000"/>
    <n v="0"/>
    <n v="7000000"/>
    <x v="27"/>
  </r>
  <r>
    <x v="3"/>
    <s v="017-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7T00:00:00"/>
    <d v="2020-04-29T00:00:00"/>
    <n v="7000000"/>
    <n v="0"/>
    <s v="JORGE ALEXANDER GAONA ORDOÑEZ"/>
    <n v="79961756"/>
    <s v="SERVICIOS DE GESTION, SERVICIOS PROFESIONALES (ADMINISTRADOR TEMPORAL DE BASES DE DATOS O DE SISTEMAS DE TECNOLOGIA DE LA INFORMACION) (POR 2 MESES)"/>
    <n v="1"/>
    <s v="VALOR MENSUAL POR PERSONA"/>
    <n v="3500000"/>
    <n v="0"/>
    <n v="7000000"/>
    <x v="27"/>
  </r>
  <r>
    <x v="3"/>
    <s v="018-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8T00:00:00"/>
    <d v="2020-04-29T00:00:00"/>
    <n v="7000000"/>
    <n v="0"/>
    <s v="ALBERTO GALINDO ORTIZ"/>
    <n v="80261176"/>
    <s v="SERVICIOS DE GESTION, SERVICIOS PROFESIONALES (ADMINISTRADOR TEMPORAL DE BASES DE DATOS O DE SISTEMAS DE TECNOLOGIA DE LA INFORMACION) (POR 2 MESES)"/>
    <n v="1"/>
    <s v="VALOR MENSUAL POR PERSONA"/>
    <n v="3500000"/>
    <n v="0"/>
    <n v="7000000"/>
    <x v="27"/>
  </r>
  <r>
    <x v="3"/>
    <s v="019-2020"/>
    <s v="CONTRATAR EL ARRENDAMIENTO DE 150 EQUIPOS PORTÁTILES DE LAS SIGUIENTES CARACTERÍSTICAS: PROCESADOR INTEL CORE I5, UNIDAD DE ALMACENAMIENTO 500GB, MEMORIA RAM 8GB, CÁMARA Y MICRÓFONO INTEGRADO HD720P, CONECTOR RJ-45, UNIDAD ÓPTICA, SISTEMA OPERATIVO WINDOWS 10 CON LICENCIAMIENTO OFFICE 2013, QUE REQUIERAN LOS DESPACHOS JUDICIALES Y SEDES ADMINISTRATIVAS A CARGO DE ESTA DIRECCIÓN EJECUTIVA SECCIONAL DE ADMINISTRACIÓN JUDICIAL BOGOTÁ – CUNDINAMARCA."/>
    <d v="2020-04-27T00:00:00"/>
    <d v="2020-05-06T00:00:00"/>
    <n v="73631250"/>
    <n v="73631250"/>
    <s v="CDG TECNOLOGIA S.A.S"/>
    <n v="900594755"/>
    <s v="ALQUILER EQUIPO PORTATIL USADO PROCESADOR  CORE I5  MEMORIA 8GB DDR DISCO DURO DE 500 O SUPERIOR,PANTALLA DE 14 CAMARA-CAMARA HD720P , RJ45,UNIDAD OPTICA (POR 3 MESES)"/>
    <n v="300"/>
    <s v="VALOR MENSUAL POR EQUIPO"/>
    <n v="137500"/>
    <n v="26125"/>
    <n v="147262500"/>
    <x v="28"/>
  </r>
  <r>
    <x v="3"/>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MASCARILLA DE PROTECCIÓN RESPIRATORIA CONTRA PARTÍCULAS"/>
    <n v="100"/>
    <s v="UNIDAD"/>
    <n v="17800"/>
    <n v="0"/>
    <n v="1780000"/>
    <x v="3"/>
  </r>
  <r>
    <x v="3"/>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MONOGAFAS DE PROTECCON"/>
    <n v="1000"/>
    <s v="UNIDAD"/>
    <n v="19900"/>
    <n v="0"/>
    <n v="19900000"/>
    <x v="2"/>
  </r>
  <r>
    <x v="3"/>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TRAJES DE PROTECCIÓN ANTI FLUIDO DESECHABLE"/>
    <n v="100"/>
    <s v="UNIDAD"/>
    <n v="34900"/>
    <n v="0"/>
    <n v="3490000"/>
    <x v="0"/>
  </r>
  <r>
    <x v="3"/>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TAPABOCAS QUIRURGICO TERMOSELLADO (NO  TEJIDO) "/>
    <n v="192300"/>
    <s v="UNIDAD"/>
    <n v="1850"/>
    <n v="0"/>
    <n v="355755000"/>
    <x v="3"/>
  </r>
  <r>
    <x v="3"/>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GEL ALCOHOL ISOPROPÍLICO "/>
    <n v="1250"/>
    <s v="LITRO"/>
    <n v="29800"/>
    <n v="0"/>
    <n v="37250000"/>
    <x v="4"/>
  </r>
  <r>
    <x v="3"/>
    <s v="024-2020"/>
    <s v="COMPRA DE DEPÓSITOS DE AGUA (LAVAMANOS) PORTÁTILES, CON LAS SIGUIENTES CARACTERÍSTICAS: LAVAMANOS PORTÁTIL FABRICADO EN FIBRA DE VIDRIO, EQUIPADO CON UNA BOMBA DE PEDAL PARA EL BOMBEO DE AGUA, CUENTA CON UN TANQUE DE AGUA LIMPIA DE 5 GALONES Y UNO DE AGUA RESIDUAL DE 5 GALONES"/>
    <d v="2020-05-26T00:00:00"/>
    <d v="2020-05-29T00:00:00"/>
    <n v="66640000"/>
    <n v="0"/>
    <s v="BAÑOS BRASILIA S.A.S. "/>
    <n v="900491441"/>
    <s v="LAVAMANOS PORTATIL FABRICADO EN FIBRA DE VIDRIO"/>
    <n v="40"/>
    <s v="UNIDAD"/>
    <n v="1400000"/>
    <n v="266000"/>
    <n v="66640000"/>
    <x v="9"/>
  </r>
  <r>
    <x v="3"/>
    <s v="040-2020"/>
    <s v="ADQUISICION DE TERMOMETROS INFRARROJOS DIGITALES"/>
    <d v="2020-06-27T00:00:00"/>
    <d v="2020-07-01T00:00:00"/>
    <n v="11940000"/>
    <n v="0"/>
    <s v="ALCSETEC ALIANZAS COMERCIALES Y SERVICIOS TECNOLÓGICOS S.A.S"/>
    <n v="900934702"/>
    <s v=" TERMOMETROS INFRARROJOS DIGITALES"/>
    <n v="60"/>
    <s v="UNIDAD"/>
    <n v="199000"/>
    <m/>
    <n v="11940000"/>
    <x v="21"/>
  </r>
  <r>
    <x v="3"/>
    <n v="51487"/>
    <s v="ADQUISICION DE CARETA DE PROTECCION"/>
    <d v="2020-07-03T00:00:00"/>
    <d v="2020-07-03T00:00:00"/>
    <n v="14970000"/>
    <n v="0"/>
    <s v="ABBAPLAX S.A.S"/>
    <n v="8600621471"/>
    <s v="CARETAS DE PROTECCION"/>
    <n v="3000"/>
    <s v="UNIDAD"/>
    <n v="4990"/>
    <n v="0"/>
    <n v="14970000"/>
    <x v="11"/>
  </r>
  <r>
    <x v="3"/>
    <n v="52416"/>
    <s v="ADQUISICION DE ESCANNER DE MANOS, LECTOR DE CEDULAS"/>
    <d v="2020-07-22T00:00:00"/>
    <d v="2020-07-22T00:00:00"/>
    <n v="15913335"/>
    <n v="0"/>
    <s v="GRUPO EMPRESARIAL CREAR DE COLOMBIA"/>
    <n v="9005644591"/>
    <s v="ESCANNER DE MANOS"/>
    <n v="50"/>
    <s v="UNIDAD"/>
    <n v="267451"/>
    <n v="50816"/>
    <n v="15913350"/>
    <x v="29"/>
  </r>
  <r>
    <x v="3"/>
    <n v="52439"/>
    <s v="ADQUISICION DE GUANTES DE NITRILO"/>
    <d v="2020-07-22T00:00:00"/>
    <d v="2020-07-22T00:00:00"/>
    <n v="27417000"/>
    <n v="0"/>
    <s v="AESTHETICS &amp; MEDICAL SOLUTIONS"/>
    <n v="9005671308"/>
    <s v="GUANTES DE NITRILO CAJA x 100"/>
    <n v="703"/>
    <s v="CAJA X 100"/>
    <n v="39000"/>
    <n v="0"/>
    <n v="27417000"/>
    <x v="10"/>
  </r>
  <r>
    <x v="3"/>
    <n v="52492"/>
    <s v="SUMINISTRO DE DISPENSADORES DE GEL ANTIBACTERIAL PARA ACTIVACION DE PIE"/>
    <d v="2020-07-23T00:00:00"/>
    <d v="2020-07-23T00:00:00"/>
    <n v="30011800"/>
    <n v="0"/>
    <s v="MARKETING STORE SAS"/>
    <n v="9001413756"/>
    <s v="DISPENSADORES DE GEL ANTIBACTERIAL"/>
    <n v="388"/>
    <s v="UNIDAD"/>
    <n v="65000"/>
    <n v="12350"/>
    <n v="30011800"/>
    <x v="12"/>
  </r>
  <r>
    <x v="3"/>
    <n v="52560"/>
    <s v="ADQUISICION DE CINTAS PARA DEMARCAR ZONAS"/>
    <d v="2020-07-24T00:00:00"/>
    <d v="2020-07-24T00:00:00"/>
    <n v="18420129"/>
    <n v="0"/>
    <s v="PANAMERICANA LIBRERÍA Y PAPELERIA"/>
    <n v="830037946"/>
    <s v="ADQUISICION DE CINTAS ADHESIVAS DE ALTO RENDIMIENTO PARA DEMARCACION DE ZONAS X 32 MTS"/>
    <n v="117"/>
    <s v="ROLLO X 32,91 MTS"/>
    <n v="157437"/>
    <n v="0"/>
    <n v="18420129"/>
    <x v="30"/>
  </r>
  <r>
    <x v="3"/>
    <n v="52574"/>
    <s v="ADQUISICION DE LAVAMANOS PORTATILES CON DISPENSADORES DE JABON Y TOALLAS"/>
    <d v="2020-07-24T00:00:00"/>
    <d v="2020-07-24T00:00:00"/>
    <n v="84252000"/>
    <n v="0"/>
    <s v="MARKETING STORE SAS"/>
    <n v="9001413756"/>
    <s v="LAVAMANOS PORTATIL CON DISPENSADORES DE JABON Y TOALLAS"/>
    <n v="59"/>
    <s v="UNIDAD"/>
    <n v="1200000"/>
    <n v="228000"/>
    <n v="84252000"/>
    <x v="9"/>
  </r>
  <r>
    <x v="3"/>
    <n v="53248"/>
    <s v="ADQUISICION DE CANECAS DE PEDAL 20 LTS COLOR GRIS"/>
    <d v="2020-08-05T00:00:00"/>
    <d v="2020-08-05T00:00:00"/>
    <n v="7076358"/>
    <n v="0"/>
    <s v="PANAMERICANA LIBRERÍA Y PAPELERIA"/>
    <n v="830037946"/>
    <s v="ADQUISICION DE CANECAS DE PEDAL 20 LTS COLOR GRIS"/>
    <n v="131"/>
    <s v="UNIDAD"/>
    <n v="54018"/>
    <n v="0"/>
    <n v="7076358"/>
    <x v="15"/>
  </r>
  <r>
    <x v="4"/>
    <s v="BGA-011-2020"/>
    <s v="DOTACION DE TRAJES DE BIOSEGURIDAD"/>
    <d v="2020-03-17T00:00:00"/>
    <d v="2020-03-18T00:00:00"/>
    <n v="25281431"/>
    <n v="0"/>
    <s v="TECHNICAL SOLUTIONS SAFETY SAS"/>
    <n v="901095058"/>
    <s v="TRAJES DE PROTECCION CORPORAL MARCA KIMBERLY"/>
    <n v="1350"/>
    <s v="UNIDAD"/>
    <n v="15374"/>
    <n v="2921.06"/>
    <n v="24698331"/>
    <x v="0"/>
  </r>
  <r>
    <x v="4"/>
    <s v="BGA-011-2020"/>
    <s v="DOTACION DE TRAJES DE BIOSEGURIDAD"/>
    <d v="2020-03-17T00:00:00"/>
    <d v="2020-03-18T00:00:00"/>
    <n v="25281431"/>
    <n v="0"/>
    <s v="TECHNICAL SOLUTIONS SAFETY SAS"/>
    <n v="901095058"/>
    <s v="MONOGAFAS WIND VENTILACION DIRECTA"/>
    <n v="70"/>
    <s v="UNIDAD"/>
    <n v="7000"/>
    <n v="1330"/>
    <n v="583100"/>
    <x v="2"/>
  </r>
  <r>
    <x v="4"/>
    <s v="BGA-012-2020"/>
    <s v="COMPRAVENTA DE CÁMARAS WEB TIPO HD Y DIADEMAS CON CONEXIÓN USB PARA DESARROLLAR PRINCIPALMENTE LAS AUDIENCIAS DE CONTROL DE GARANTÍAS DEL SISTEMA PENAL ACUSATORIO Y DEL SISTEMA PENAL PARA ADOLESCENTES COMO MECANISMO PARA ATENDER LA EMERGENCIA SANITARIA OCASIONADA POR EL COVID-19 "/>
    <d v="2020-03-27T00:00:00"/>
    <d v="2020-03-27T00:00:00"/>
    <n v="11284977"/>
    <n v="0"/>
    <s v="JERSON FABIAN SUAREZ BENITEZ"/>
    <n v="1095815252"/>
    <s v="WEBCAMLOGITECH C-270 HD: CÁMARAWEB CON CONECTIVIDAD INALÁMBRICA COLOR NEGRO."/>
    <n v="37"/>
    <s v="UNIDAD"/>
    <n v="138655"/>
    <n v="26344.45"/>
    <n v="6104979.6500000004"/>
    <x v="31"/>
  </r>
  <r>
    <x v="4"/>
    <s v="BGA-012-2020"/>
    <s v="COMPRAVENTA DE CÁMARAS WEB TIPO HD Y DIADEMAS CON CONEXIÓN USB PARA DESARROLLAR PRINCIPALMENTE LAS AUDIENCIAS DE CONTROL DE GARANTÍAS DEL SISTEMA PENAL ACUSATORIO Y DEL SISTEMA PENAL PARA ADOLESCENTES COMO MECANISMO PARA ATENDER LA EMERGENCIA SANITARIA OCASIONADA POR EL COVID-19 "/>
    <d v="2020-03-27T00:00:00"/>
    <d v="2020-03-27T00:00:00"/>
    <n v="11284977"/>
    <n v="0"/>
    <s v="JERSON FABIAN SUAREZ BENITEZ"/>
    <n v="1095815252"/>
    <s v="DIADEMA LOGITECH USB HEADSET H-390: AURICULARES CON  MICRÓFONO  USB  PARA  ORDENADOR. LAS BOCINAS DE LOS AUDÍFONOS SON DE ALTA CALIDAD REPRODUCEN UN EXCELENTE AUDIO Y EL MICRÓFONO AJUSTABLE CON SUPRESIÓN DE RUIDO ASEGURA UNA COMUNICACIÓN CLARA."/>
    <n v="37"/>
    <s v="UNIDAD"/>
    <n v="117647"/>
    <n v="22352.93"/>
    <n v="5179997.41"/>
    <x v="32"/>
  </r>
  <r>
    <x v="4"/>
    <s v="BGA-015-2020"/>
    <s v="ADQUISICIÓN DE ELEMENTOS DE PROTECCIÓN PERSONAL ESPECÍFICAMENTE TAPABOCAS REUTILIZABLES"/>
    <d v="2020-04-17T00:00:00"/>
    <d v="2020-04-17T00:00:00"/>
    <n v="27000000"/>
    <n v="0"/>
    <s v="TURISMO Y TIENDA ESPECIALIZADA EN ALTURAS Y AVENTURA S.A.S "/>
    <n v="900481697"/>
    <s v="TAPABOCAS LAVABLE, CON CAPA ANTIFLUIDO Y CAMBRE, ELÁSTICO A LAS OREJAS, DE TAMAÑO NORMAL Y UN TAMAÑO UN POCO MÁS PEQUEÑO PARA NIÑOS."/>
    <n v="18000"/>
    <s v="UNIDAD"/>
    <n v="1500"/>
    <n v="0"/>
    <n v="27000000"/>
    <x v="3"/>
  </r>
  <r>
    <x v="4"/>
    <s v="O.C. 46421"/>
    <s v="SUMINISTRO DE ELEMENTOS DE ASEO Y PROTECCIÓN"/>
    <d v="2020-03-20T00:00:00"/>
    <d v="2020-03-20T00:00:00"/>
    <n v="33831700"/>
    <n v="0"/>
    <s v="PANAMERICANA LIBRERÍA Y PAPELERIA SA"/>
    <n v="830037946"/>
    <s v="JABON LIQUIDO P/MANOSC/GLICERINA X3800 COD: 8490656"/>
    <n v="5700"/>
    <s v="LITRO"/>
    <n v="5261.0526315789475"/>
    <n v="0"/>
    <n v="29988000"/>
    <x v="5"/>
  </r>
  <r>
    <x v="4"/>
    <s v="O.C. 46421"/>
    <s v="SUMINISTRO DE ELEMENTOS DE ASEO Y PROTECCIÓN"/>
    <d v="2020-03-20T00:00:00"/>
    <d v="2020-03-20T00:00:00"/>
    <n v="33831700"/>
    <n v="0"/>
    <s v="PANAMERICANA LIBRERÍA Y PAPELERIA SA"/>
    <n v="830037946"/>
    <s v="TOALLA P/MANOS BLANCO Z D/HFAJO X150UN COD. 900502987"/>
    <n v="500"/>
    <s v="PAQUETE X 150"/>
    <n v="6664"/>
    <n v="0"/>
    <n v="3332000"/>
    <x v="8"/>
  </r>
  <r>
    <x v="4"/>
    <s v="O.C. 46421"/>
    <s v="SUMINISTRO DE ELEMENTOS DE ASEO Y PROTECCIÓN"/>
    <d v="2020-03-20T00:00:00"/>
    <d v="2020-03-20T00:00:00"/>
    <n v="33831700"/>
    <n v="0"/>
    <s v="PANAMERICANA LIBRERÍA Y PAPELERIA SA"/>
    <n v="830037946"/>
    <s v="JABON MANOS 500 ML AVENA/DISPENSADOR COD: 900502307"/>
    <n v="50"/>
    <s v="LITRO"/>
    <n v="10234"/>
    <n v="0"/>
    <n v="511700"/>
    <x v="5"/>
  </r>
  <r>
    <x v="4"/>
    <s v="O.C. 48149"/>
    <s v="ADQUISICIÓN DE TERMÓMETROS INFRARROJOS CORPORALES"/>
    <d v="2020-05-07T00:00:00"/>
    <d v="2020-05-07T00:00:00"/>
    <n v="17825000"/>
    <n v="0"/>
    <s v="FALABELLA DE COLOMBIA S.A."/>
    <n v="900017447"/>
    <s v="TERMÓMETRO INFRAROJO DIGITAL- HC"/>
    <n v="31"/>
    <s v="UNIDAD"/>
    <n v="575000"/>
    <n v="0"/>
    <n v="17825000"/>
    <x v="21"/>
  </r>
  <r>
    <x v="4"/>
    <s v="O.C. 48150"/>
    <s v="ADQUISICIÓN DE BAYETILLAS BLANCAS DE 35 X 50 CMS PARA LIMPIEZA DE SUPERFICIES"/>
    <d v="2020-05-07T00:00:00"/>
    <d v="2020-05-07T00:00:00"/>
    <n v="3284400"/>
    <n v="0"/>
    <s v="PANAMERICANA LIBRERÍA Y PAPELERÍA S.A. "/>
    <n v="830037946"/>
    <s v="BAYETILLA BLANCA 35 X 50 CMS. COD:8490681"/>
    <n v="1840"/>
    <s v="UNIDAD"/>
    <n v="1785"/>
    <n v="0"/>
    <n v="3284400"/>
    <x v="22"/>
  </r>
  <r>
    <x v="4"/>
    <s v="O.C. 48216"/>
    <s v="ADQUISICIÓN DE PA-17 GEL ANTIBACTERIAL - GALÓN"/>
    <d v="2020-05-08T00:00:00"/>
    <d v="2020-05-08T00:00:00"/>
    <n v="2416900"/>
    <n v="0"/>
    <s v="JAIME BELTRAN URIBE - POLYFLEX"/>
    <n v="10125834"/>
    <s v="COV01-PA-17 - GEL ANTIBACTERIAL"/>
    <n v="193.05591000000001"/>
    <s v="LITRO"/>
    <n v="11068.814210349738"/>
    <n v="0"/>
    <n v="2136900"/>
    <x v="4"/>
  </r>
  <r>
    <x v="4"/>
    <s v="O.C. 48217"/>
    <s v="ADQUISICIÓN DE PA-18 GEL ANTIBACTERIAL - FRASCO X1LT"/>
    <d v="2020-05-08T00:00:00"/>
    <d v="2020-05-08T00:00:00"/>
    <n v="30000000"/>
    <n v="0"/>
    <s v="JM GRUPO EMPRESARIAL S.A.S "/>
    <n v="900353659"/>
    <s v="COV01-PA-18 - GEL ANTIBACTERIAL -"/>
    <n v="2000"/>
    <s v="LITRO"/>
    <n v="15000"/>
    <n v="0"/>
    <n v="30000000"/>
    <x v="4"/>
  </r>
  <r>
    <x v="4"/>
    <s v="O.C. 48218"/>
    <s v="ADQUISICIÓN DE PA-1 ALCOHOL – FRASCO DE 750 ML"/>
    <d v="2020-05-08T00:00:00"/>
    <d v="2020-05-08T00:00:00"/>
    <n v="7907306"/>
    <n v="0"/>
    <s v="SUMIMAS S.A.S"/>
    <n v="830001338"/>
    <s v="COV01-PA-1 - ALCOHOL - FRASCO DE 750 CC"/>
    <n v="824.25"/>
    <s v="LITRO"/>
    <n v="9593.3333333333339"/>
    <n v="0"/>
    <n v="7907305.0000000009"/>
    <x v="20"/>
  </r>
  <r>
    <x v="4"/>
    <s v="BGA-016-2020"/>
    <s v="ADQUISICIÓN DE KIT DE DESINFECCIÓN, QUE INCLUYE DE TAPETE EN LÍQUIDO, TAPETE DE SECADO Y SANITIZANTE EN SOLUCIÓN"/>
    <d v="2020-05-12T00:00:00"/>
    <d v="2020-05-13T00:00:00"/>
    <n v="10399998"/>
    <n v="0"/>
    <s v="COMERCIALIZADORA DA VINCI SAS"/>
    <n v="900151140"/>
    <s v="KIT CONTIENE 2 TAPETES PARA DESINFECCION EN LIQUIDO"/>
    <n v="32"/>
    <s v="KIT"/>
    <n v="210083.99"/>
    <n v="39915.958099999996"/>
    <n v="7999998.3391999993"/>
    <x v="33"/>
  </r>
  <r>
    <x v="4"/>
    <s v="BGA-016-2020"/>
    <s v="ADQUISICIÓN DE KIT DE DESINFECCIÓN, QUE INCLUYE DE TAPETE EN LÍQUIDO, TAPETE DE SECADO Y SANITIZANTE EN SOLUCIÓN"/>
    <d v="2020-05-12T00:00:00"/>
    <d v="2020-05-13T00:00:00"/>
    <n v="10399998"/>
    <n v="0"/>
    <s v="COMERCIALIZADORA DA VINCI SAS"/>
    <n v="900151140"/>
    <s v="SANITIZANTE EN SOLUCION"/>
    <n v="144"/>
    <s v="LITRO"/>
    <n v="16666.666666666668"/>
    <n v="0"/>
    <n v="2400000"/>
    <x v="4"/>
  </r>
  <r>
    <x v="4"/>
    <s v="O.C. 48345"/>
    <s v="ADQUISICIÓN DE PILAS 9V PARA TERMOMETROS"/>
    <d v="2020-05-12T00:00:00"/>
    <d v="2020-05-12T00:00:00"/>
    <n v="1142400"/>
    <n v="0"/>
    <s v="PANAMERICANA LIBRERÍA Y PAPELERÍA S.A."/>
    <n v="830037946"/>
    <s v="PILA ALKALINA 9V ENERGIZER MAXCOD: 8096731"/>
    <n v="100"/>
    <s v="UNIDAD"/>
    <n v="9600"/>
    <n v="1824"/>
    <n v="1142400"/>
    <x v="34"/>
  </r>
  <r>
    <x v="4"/>
    <s v="BGA-017-2020"/>
    <s v="PRESTACIÓN DEL SERVICIO DE ALQUILER DE 53 ESCÁNER CAMA PLANA DE 50PPM PARA FUNCIONAMIENTO DE LOS CENTROS DE ESCANEO EN ALGUNAS SEDES JUDICIALES"/>
    <d v="2020-05-18T00:00:00"/>
    <d v="2020-05-18T00:00:00"/>
    <n v="34947325"/>
    <n v="0"/>
    <s v="PC COM S.A."/>
    <n v="830044858"/>
    <s v="SERVICIO DE ALQUILER DE 7 ESCANERES CON INSTALACIÓN "/>
    <n v="7"/>
    <s v="VALOR MENSUAL POR EQUIPO"/>
    <n v="269000"/>
    <n v="51110"/>
    <n v="2240770"/>
    <x v="14"/>
  </r>
  <r>
    <x v="4"/>
    <s v="BGA-017-2020"/>
    <s v="PRESTACIÓN DEL SERVICIO DE ALQUILER DE 53 ESCÁNER CAMA PLANA DE 50PPM PARA FUNCIONAMIENTO DE LOS CENTROS DE ESCANEO EN ALGUNAS SEDES JUDICIALES"/>
    <d v="2020-05-18T00:00:00"/>
    <d v="2020-05-18T00:00:00"/>
    <n v="34947325"/>
    <n v="0"/>
    <s v="PC COM S.A."/>
    <n v="830044858"/>
    <s v="SERVICIO DE ALQUILER DE 46 ESCANERES  SIN INSTALACIÓN "/>
    <n v="46"/>
    <s v="VALOR MENSUAL POR EQUIPO"/>
    <n v="219000"/>
    <n v="41610"/>
    <n v="11988060"/>
    <x v="14"/>
  </r>
  <r>
    <x v="4"/>
    <s v="BGA-017-2020"/>
    <s v="PRESTACIÓN DEL SERVICIO DE ALQUILER DE 53 ESCÁNER CAMA PLANA DE 50PPM PARA FUNCIONAMIENTO DE LOS CENTROS DE ESCANEO EN ALGUNAS SEDES JUDICIALES"/>
    <d v="2020-05-18T00:00:00"/>
    <d v="2020-05-18T00:00:00"/>
    <n v="34947325"/>
    <n v="0"/>
    <s v="PC COM S.A."/>
    <n v="830044858"/>
    <s v="ADICION SERVICIO DE ALQUILER DE 53 ESCANERES SIN INSTALACIÓN "/>
    <n v="53"/>
    <s v="VALOR MENSUAL POR EQUIPO"/>
    <n v="219000"/>
    <n v="41610"/>
    <n v="13812330"/>
    <x v="14"/>
  </r>
  <r>
    <x v="4"/>
    <s v="O.C. 48745"/>
    <s v="ADQUISICIÓN DE GUANTES DE NITRILO, EN LAS CONDICIONES TÉCNICAS, DE CALIDAD Y CANTIDADES REQUERIDAS POR LA ENTIDAD"/>
    <d v="2020-05-19T00:00:00"/>
    <d v="2020-05-19T00:00:00"/>
    <n v="9318300"/>
    <n v="0"/>
    <s v="OFIBEST SAS "/>
    <n v="900350133"/>
    <s v="GUANTES DE NITRILO"/>
    <n v="178"/>
    <s v="CAJA X 100"/>
    <n v="52350"/>
    <n v="0"/>
    <n v="9318300"/>
    <x v="10"/>
  </r>
  <r>
    <x v="4"/>
    <s v="O.C. 48844"/>
    <s v="ADQUISICIÓN DE LAVAMANOS PORTÁTILES AUTÓNOMOS COMO MECANISMO DE PREVENCIÓN AL CONTAGIO DEL COVID-19"/>
    <d v="2020-05-20T00:00:00"/>
    <d v="2020-05-20T00:00:00"/>
    <n v="7102970"/>
    <n v="0"/>
    <s v="COLOMBIANA DE COMERCIO S.A Y/O ALKOSTO S.A"/>
    <n v="890900943"/>
    <s v="LAVAMANOS AUTONOMO PORTATIL EN ACERO INOXIDABLE"/>
    <n v="5"/>
    <s v="UNIDAD"/>
    <n v="1193776.4705882354"/>
    <n v="226817.52941176473"/>
    <n v="7102970.0000000009"/>
    <x v="9"/>
  </r>
  <r>
    <x v="4"/>
    <s v="O.C 49177"/>
    <s v="ADQUISICIÓN DE DISPENSADORES DE GEL PARA DIFERENTES SEDES JUDICIALES EN LAS CONDICIONES TÉCNICAS, DE CALIDAD Y CANTIDADES REQUERIDAS POR LA ENTIDAD."/>
    <d v="2020-05-26T00:00:00"/>
    <d v="2020-05-26T00:00:00"/>
    <n v="2990000"/>
    <n v="0"/>
    <s v="CENCOSUD COLOMBIA S.A. "/>
    <n v="900155107"/>
    <s v="DISPENSADOR DE GEL PLANO TUBERIA 1PULGADA NEGRO"/>
    <n v="23"/>
    <s v="UNIDAD"/>
    <n v="109243.6974789916"/>
    <n v="20756.302521008405"/>
    <n v="2990000"/>
    <x v="12"/>
  </r>
  <r>
    <x v="4"/>
    <s v="O.C. 49312"/>
    <s v="ADQUISICIÓN DE TAPABOCAS DESECHABLES, EN LAS CONDICIONES TÉCNICAS, DE CALIDAD Y CANTIDADES REQUERIDAS POR LA ENTIDAD."/>
    <d v="2020-05-28T00:00:00"/>
    <d v="2020-05-28T00:00:00"/>
    <n v="41536001"/>
    <n v="0"/>
    <s v="SUMIMAS S.A.S"/>
    <n v="830001338"/>
    <s v="TAPABOCAS DESECHABLES"/>
    <n v="32000"/>
    <s v="UNIDAD"/>
    <n v="1298"/>
    <n v="0"/>
    <n v="41536000"/>
    <x v="3"/>
  </r>
  <r>
    <x v="4"/>
    <s v="O.C 49216"/>
    <s v="ADQUISICIÓN DE TAPABOCAS DESECHABLES EN LAS CONDICIONES TÉCNICAS, DE CALIDAD Y CANTIDADES REQUERIDAS POR LA ENTIDAD"/>
    <d v="2020-06-02T00:00:00"/>
    <d v="2020-06-02T00:00:00"/>
    <n v="278000"/>
    <n v="0"/>
    <s v="INDUHOTEL SAS"/>
    <n v="900300970"/>
    <s v="TAPABOCAS DESECHABLES"/>
    <n v="200"/>
    <s v="UNIDAD"/>
    <n v="1290"/>
    <n v="0"/>
    <n v="258000"/>
    <x v="3"/>
  </r>
  <r>
    <x v="4"/>
    <s v="O.C. 49219"/>
    <s v="ADQUISICIÓN DE TOALLAS PARA MANOS, EN LAS CONDICIONES TÉCNICAS, DE CALIDAD Y CANTIDADES REQUERIDAS POR LA ENTIDAD,"/>
    <d v="2020-06-02T00:00:00"/>
    <d v="2020-06-02T00:00:00"/>
    <n v="9984000"/>
    <n v="0"/>
    <s v="PMI PROYECTOS MONTAJES E INGENIERIA"/>
    <n v="900704052"/>
    <s v="TOALLAS PARA MANOS X 150 UNIDADES"/>
    <n v="2000"/>
    <s v="PAQUETE X 150"/>
    <n v="4742"/>
    <n v="0"/>
    <n v="9484000"/>
    <x v="8"/>
  </r>
  <r>
    <x v="4"/>
    <s v="O.C. 49861"/>
    <s v="ADQUISICIÓN DE CARETAS DE PROTECCIÓN, EN LAS CONDICIONES TÉCNICAS, DE CALIDAD Y CANTIDADES REQUERIDAS POR LA ENTIDAD "/>
    <d v="2020-06-04T00:00:00"/>
    <d v="2020-06-04T00:00:00"/>
    <n v="11002000"/>
    <n v="0"/>
    <s v="ABBAPLAX SAS"/>
    <n v="860062147"/>
    <s v="CARETAS VISORES"/>
    <n v="829"/>
    <s v="UNIDAD"/>
    <n v="13000"/>
    <n v="0"/>
    <n v="10777000"/>
    <x v="11"/>
  </r>
  <r>
    <x v="4"/>
    <s v="BGA-020-2020"/>
    <s v=" ADQUISICIÓN DE SEÑALIZACIÓN COVID PARA SEDES JUDICIALES Y ADMINISTRATIVAS"/>
    <d v="2020-06-12T00:00:00"/>
    <d v="2020-06-19T00:00:00"/>
    <n v="4235200"/>
    <n v="0"/>
    <s v="RAMIRO BAUTISTA CACERES/ LITOGRAFÍA RABAC DISTRIBUCIONES"/>
    <n v="138486039"/>
    <s v="RÓTULOS INFORMATIVOS EN POLIESTIRENO 50 X 70 CM"/>
    <n v="104"/>
    <s v="UNIDAD"/>
    <n v="18487.394957983193"/>
    <n v="3512.6050420168067"/>
    <n v="2288000"/>
    <x v="30"/>
  </r>
  <r>
    <x v="4"/>
    <s v="BGA-020-2020"/>
    <s v=" ADQUISICIÓN DE SEÑALIZACIÓN COVID PARA SEDES JUDICIALES Y ADMINISTRATIVAS"/>
    <d v="2020-06-12T00:00:00"/>
    <d v="2020-06-19T00:00:00"/>
    <n v="4235200"/>
    <n v="0"/>
    <s v="RAMIRO BAUTISTA CACERES/ LITOGRAFÍA RABAC DISTRIBUCIONES"/>
    <n v="138486039"/>
    <s v="RÓTULOS INFORMATIVOS EN POLIESTIRENO 30 X 14 CM"/>
    <n v="108"/>
    <s v="UNIDAD"/>
    <n v="2689.0756302521008"/>
    <n v="510.92436974789916"/>
    <n v="345600"/>
    <x v="30"/>
  </r>
  <r>
    <x v="4"/>
    <s v="BGA-020-2020"/>
    <s v=" ADQUISICIÓN DE SEÑALIZACIÓN COVID PARA SEDES JUDICIALES Y ADMINISTRATIVAS"/>
    <d v="2020-06-12T00:00:00"/>
    <d v="2020-06-19T00:00:00"/>
    <n v="4235200"/>
    <n v="0"/>
    <s v="RAMIRO BAUTISTA CACERES/ LITOGRAFÍA RABAC DISTRIBUCIONES"/>
    <n v="138486039"/>
    <s v="IMPRESIÓN EN VINILO ADHESIVO LAMINADO CON FLOOR GRAPHIC 5CM X 1MT LINEAL "/>
    <n v="572"/>
    <s v="UNIDAD"/>
    <n v="2352.9411764705883"/>
    <n v="447.05882352941177"/>
    <n v="1601600"/>
    <x v="30"/>
  </r>
  <r>
    <x v="4"/>
    <s v="BGA-021-2020"/>
    <s v="CONTRATAR LA PRESTACIÓN DE SERVICIOS DE APOYO DE VIGÍAS DE SALUD PARA EL FORTALECIMIENTO DE LAS MEDIDAS DE PREVENCIÓN DEL CONTAGIO Y DE LA PROPAGACIÓN DEL COVID -19, ENCARGADOS DE LA TOMA DE TEMPERATURA CORPORAL O DILIGENCIAMIENTO DEL FORMATO DE ESTADO DE SALUD, ENTREGA DE ELEMENTOS DE PROTECCIÓN A SERVIDORES JUDICIALES, CONTRATISTAS Y JUDICANTES, Y DE VELAR POR EL CUMPLIMIENTO DE LOS PROTOCOLOS DE BIOSEGURIDAD DEFINIDOS POR LA ENTIDAD, EN LAS SEDES JUDICIALES DE MAYOR AFLUENCIA DE LA SECCIONAL SANTANDER"/>
    <d v="2020-06-17T00:00:00"/>
    <d v="2020-06-19T00:00:00"/>
    <n v="206400000"/>
    <n v="0"/>
    <s v="JUNTA DEFENSA CIVIL BARRIO LA JOYA "/>
    <n v="890209025"/>
    <s v="PREVENCIÓN Y CONTROL DE ENFERMEDADES CONTAGIOSAS (PERFIL 1)"/>
    <n v="12"/>
    <s v="VALOR MENSUAL POR PERSONA"/>
    <n v="2400000"/>
    <n v="0"/>
    <n v="28800000"/>
    <x v="6"/>
  </r>
  <r>
    <x v="4"/>
    <s v="BGA-021-2020"/>
    <s v="CONTRATAR LA PRESTACIÓN DE SERVICIOS DE APOYO DE VIGÍAS DE SALUD PARA EL FORTALECIMIENTO DE LAS MEDIDAS DE PREVENCIÓN DEL CONTAGIO Y DE LA PROPAGACIÓN DEL COVID -19, ENCARGADOS DE LA TOMA DE TEMPERATURA CORPORAL O DILIGENCIAMIENTO DEL FORMATO DE ESTADO DE SALUD, ENTREGA DE ELEMENTOS DE PROTECCIÓN A SERVIDORES JUDICIALES, CONTRATISTAS Y JUDICANTES, Y DE VELAR POR EL CUMPLIMIENTO DE LOS PROTOCOLOS DE BIOSEGURIDAD DEFINIDOS POR LA ENTIDAD, EN LAS SEDES JUDICIALES DE MAYOR AFLUENCIA DE LA SECCIONAL SANTANDER"/>
    <d v="2020-06-17T00:00:00"/>
    <d v="2020-06-19T00:00:00"/>
    <n v="206400000"/>
    <n v="0"/>
    <s v="JUNTA DEFENSA CIVIL BARRIO LA JOYA "/>
    <n v="890209025"/>
    <s v="PREVENCIÓN Y CONTROL DE ENFERMEDADES CONTAGIOSAS (PERFIL 2)"/>
    <n v="12"/>
    <s v="VALOR MENSUAL POR PERSONA"/>
    <n v="1900000"/>
    <n v="0"/>
    <n v="22800000"/>
    <x v="6"/>
  </r>
  <r>
    <x v="4"/>
    <s v="O.C. 51658"/>
    <s v="COMPRA DE CAMARAS PARA ESCRITORIO - DIGITECH PRO"/>
    <d v="2020-07-08T00:00:00"/>
    <d v="2020-07-08T00:00:00"/>
    <n v="51086700"/>
    <n v="0"/>
    <s v="MULTIVERSE TECH SERVICES SAS "/>
    <n v="900584757"/>
    <s v="CAMARAS PARA ESCRITORIO DIGITECH PRO"/>
    <n v="135"/>
    <s v="UNIDAD"/>
    <n v="318000"/>
    <n v="60420"/>
    <n v="51086700"/>
    <x v="31"/>
  </r>
  <r>
    <x v="4"/>
    <s v="O.C. 52831"/>
    <s v="ADQUISICIÓN DE CARETAS O VISORES PET, EN LAS CONDICIONES TÉCNICAS, DE CALIDAD Y CANTIDADES REQUERIDAS POR LA ENTIDAD."/>
    <d v="2020-07-29T00:00:00"/>
    <d v="2020-07-29T00:00:00"/>
    <n v="1341920"/>
    <n v="0"/>
    <s v="ABBAPLAX SAS"/>
    <n v="860062147"/>
    <s v="CARETAS VISORES"/>
    <n v="388"/>
    <s v="UNIDAD"/>
    <n v="2840"/>
    <n v="0"/>
    <n v="1101920"/>
    <x v="11"/>
  </r>
  <r>
    <x v="4"/>
    <s v="O.C. 52832"/>
    <s v="ADQUISICIÓN DE GUANTES DE NITRILO, EN LAS CONDICIONES TÉCNICAS, DE CALIDAD Y CANTIDADES REQUERIDAS POR LA ENTIDAD."/>
    <d v="2020-07-29T00:00:00"/>
    <d v="2020-07-29T00:00:00"/>
    <n v="49100000"/>
    <n v="0"/>
    <s v="AESTHETICS &amp; MEDICAL SOLUTIONS SAS"/>
    <n v="900567130"/>
    <s v="GUANTES DE NITRILO"/>
    <n v="1080"/>
    <s v="CAJA X 100"/>
    <n v="45000"/>
    <n v="0"/>
    <n v="48600000"/>
    <x v="10"/>
  </r>
  <r>
    <x v="5"/>
    <s v="OC 45989-2020"/>
    <s v="ADQUISICIÓN DE JABÓN LÍQUIDO Y TOALLAS DE PAPEL PARA MANOS, CON DESTINO A LOS FUNCIONARIOS Y EMPLEADOS DE LAS CORPORACIONES Y DESPACHOS JUDICIALES DEL VALLE DEL CAUCA, EN ATENCIÓN Y APLICACIÓN DE LOS LINEAMIENTOS EMITIDOS POR EL MINISTERIO DE TRABAJO EN LA CIRCULAR NO. 0017 DE FECHA 24 DE FEBRERO DE 2020 – COVID-19”."/>
    <d v="2020-03-10T00:00:00"/>
    <d v="2020-03-10T00:00:00"/>
    <n v="48156480"/>
    <n v="0"/>
    <s v="PANAMERICANA LIBRERÍA Y PAPELERIA S.A."/>
    <n v="830037946"/>
    <s v="TOALLA PARA MANOS ROLLO X 100 MT TRIPLE HOJA PRECORTADA POR (500 HOJAS) "/>
    <n v="1920"/>
    <s v="ROLLO X 100 MTS"/>
    <n v="18281"/>
    <n v="3439"/>
    <n v="41702400"/>
    <x v="8"/>
  </r>
  <r>
    <x v="5"/>
    <s v="OC 45989-2020"/>
    <s v="ADQUISICIÓN DE JABÓN LÍQUIDO Y TOALLAS DE PAPEL PARA MANOS, CON DESTINO A LOS FUNCIONARIOS Y EMPLEADOS DE LAS CORPORACIONES Y DESPACHOS JUDICIALES DEL VALLE DEL CAUCA, EN ATENCIÓN Y APLICACIÓN DE LOS LINEAMIENTOS EMITIDOS POR EL MINISTERIO DE TRABAJO EN LA CIRCULAR NO. 0017 DE FECHA 24 DE FEBRERO DE 2020 – COVID-19”."/>
    <d v="2020-03-10T00:00:00"/>
    <d v="2020-03-10T00:00:00"/>
    <n v="48156480"/>
    <n v="0"/>
    <s v="PANAMERICANA LIBRERÍA Y PAPELERIA S.A."/>
    <n v="830037946"/>
    <s v="JABON LIQUIDO PARA MANOS 3000CM3 ORION"/>
    <n v="1944"/>
    <s v="LITRO"/>
    <n v="2794"/>
    <n v="526"/>
    <n v="6454080"/>
    <x v="5"/>
  </r>
  <r>
    <x v="5"/>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GAFA DE SEGURIDAD INDUSTRIAL LENTE TRANS"/>
    <n v="100"/>
    <s v="UNIDAD"/>
    <n v="13500"/>
    <n v="2565"/>
    <n v="1606500"/>
    <x v="35"/>
  </r>
  <r>
    <x v="5"/>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TAPABOCAS DE 3 PLIEGUES CON CORDÓN ELÁSTICO"/>
    <n v="9908"/>
    <s v="UNIDAD"/>
    <n v="750"/>
    <n v="14250"/>
    <n v="148620000"/>
    <x v="3"/>
  </r>
  <r>
    <x v="5"/>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GUANTES NITRILO CAJA 100 UNIDADES, 50 PARES"/>
    <n v="40"/>
    <s v="CAJA X 100"/>
    <n v="100000"/>
    <n v="19000"/>
    <n v="4760000"/>
    <x v="10"/>
  </r>
  <r>
    <x v="5"/>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GEL ANTIBACTERIAL "/>
    <n v="50"/>
    <s v="LITRO"/>
    <n v="30000"/>
    <n v="5700"/>
    <n v="1785000"/>
    <x v="4"/>
  </r>
  <r>
    <x v="5"/>
    <s v="014-2020"/>
    <s v="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OVEROL DE CON CAPUCHA DE BIOSEGURIDAD"/>
    <n v="100"/>
    <s v="UNIDAD"/>
    <n v="37000"/>
    <n v="7030"/>
    <n v="4403000"/>
    <x v="0"/>
  </r>
  <r>
    <x v="5"/>
    <s v="OC 48145-2020"/>
    <s v="ADQUISICIÓN DE TERMÓMETROS DIGITALES PARA APOYO A LA MITIGACIÓN DEL VIRUS COVID-19 PARA LOS DIFERENTES INMUEBLES DONDE FUNCIONA LA RAMA JUDICIAL DEL VALLE DEL CAUCA"/>
    <d v="2020-05-07T00:00:00"/>
    <d v="2020-05-07T00:00:00"/>
    <n v="11615000"/>
    <n v="0"/>
    <s v="FALABELLA DE COLOMBIA SA"/>
    <n v="900017447"/>
    <s v="TERMÓMETRO DIGITAL INFRARROJO (TIENDA VIRTUAL)"/>
    <n v="20"/>
    <s v="UNIDAD"/>
    <n v="580750"/>
    <n v="0"/>
    <n v="11615000"/>
    <x v="21"/>
  </r>
  <r>
    <x v="5"/>
    <s v="OC 48322-2020"/>
    <s v="ADQUISICIÓN DE ALCOHOL GLICERINADO (GEL ANTIBACTERIAL) PARA LA ANTISEPSIA DE MANOS DE LOS FUNCIONARIOS Y EMPLEADOS DE LAS CORPORACIONES Y DESPACHOS JUDICIALES DEL VALLE DEL CAUCA, TENIENDO EN CUENTA LA EMERGENCIA SANITARIA QUE SE VIENE PRESENTANDO EN EL PAÍS POR CAUSA DEL VIRUS COVID-19."/>
    <d v="2020-05-11T00:00:00"/>
    <d v="2020-05-11T00:00:00"/>
    <n v="32520000"/>
    <n v="0"/>
    <s v="AESTHETICS &amp; MEDICAL SOLUTIONS SAS"/>
    <n v="900567130"/>
    <s v="ALCOHOL ISOPROPILICO EN GEL PARA ANTISEPSIA DE MANOS, 70ML+2G/100ML"/>
    <n v="2168"/>
    <s v="LITRO"/>
    <n v="15000"/>
    <n v="0"/>
    <n v="32520000"/>
    <x v="20"/>
  </r>
  <r>
    <x v="5"/>
    <s v="OC 48655-2020"/>
    <s v="ADQUISICIÓN DE CARETAS DE PROTECCIÓN PARA LOS FUNCIONARIOS Y EMPLEADOS DE LAS CORPORACIONES Y DESPACHOS JUDICIALES DEL VALLE DEL CAUCA, TENIENDO EN CUENTA LA EMERGENCIA SANITARIA QUE SE VIENE PRESENTANDO EN EL PAÍS POR CAUSA DEL VIRUS COVID-19"/>
    <d v="2020-05-18T00:00:00"/>
    <d v="2020-05-18T00:00:00"/>
    <n v="1719600"/>
    <n v="1719600"/>
    <s v="COLOMBIANA DE COMERCIO S.A. Y/O ALKOSTO S.A."/>
    <n v="890900943"/>
    <s v="CARETA DE PROTECCIÓN FACIAL"/>
    <n v="600"/>
    <s v="UNIDAD"/>
    <n v="5732"/>
    <n v="0"/>
    <n v="3439200"/>
    <x v="11"/>
  </r>
  <r>
    <x v="5"/>
    <s v="OC 48656-2020"/>
    <s v="ADQUISICIÓN DE JABÓN LÍQUIDO PARA LAVADO DE MANOS DE LOS FUNCIONARIOS Y EMPLEADOS DE LAS CORPORACIONES Y DESPACHOS JUDICIALES DEL VALLE DEL CAUCA, TENIENDO EN CUENTA LA EMERGENCIA SANITARIA QUE SE VIENE PRESENTANDO EN EL PAÍS POR CAUSA DEL VIRUS COVID-19"/>
    <d v="2020-05-18T00:00:00"/>
    <d v="2020-05-18T00:00:00"/>
    <n v="15800400"/>
    <n v="0"/>
    <s v="AESTHETICS &amp; MEDICAL SOLUTIONS SAS"/>
    <n v="900567130"/>
    <s v="JABÓN PARA MANOS - LÍQUIDO, EN RECIPIENTE PLÁSTICO CON CAPACIDAD MÍNIMA DE 3785 ml"/>
    <n v="3032.00216"/>
    <s v="LITRO"/>
    <n v="5211.21"/>
    <n v="0"/>
    <n v="15800399.9762136"/>
    <x v="5"/>
  </r>
  <r>
    <x v="5"/>
    <s v="021-2020"/>
    <s v="CONTRATAR EN NOMBRE DE LA NACIÓN - CONSEJO SUPERIOR DE LA JUDICATURA – DIRECCIÓN EJECUTIVA SECCIONAL DE ADMINISTRACIÓN JUDICIAL DE CALI – VALLE DEL CAUCA, LA ADQUISICIÓN DE TAPABOCAS PARA PROTECCIÓN Y USO POR PARTE DE LOS FUNCIONARIOS Y EMPLEADOS DE LAS CORPORACIONES Y DESPACHOS JUDICIALES DEL VALLE DEL CAUCA, TENIENDO EN CUENTA LA EMERGENCIA SANITARIA QUE SE VIENE PRESENTANDO EN EL PAÍS POR CAUSA DEL VIRUS COVID-19. "/>
    <d v="2020-05-19T00:00:00"/>
    <d v="2020-05-21T00:00:00"/>
    <n v="87000000"/>
    <n v="0"/>
    <s v="ASOCIACION DESARROLLANDO FUTURO"/>
    <n v="805026532"/>
    <s v="TAPABOCAS QUIRURGICO"/>
    <n v="58000"/>
    <s v="UNIDAD"/>
    <n v="1500"/>
    <n v="0"/>
    <n v="87000000"/>
    <x v="3"/>
  </r>
  <r>
    <x v="5"/>
    <s v="OC 48921-2020"/>
    <s v="ADQUISICIÓN DE BAYETILLAS PARA LA LIMPIEZA DE LOS PUESTOS DE TRABAJO DE LAS CORPORACIONES Y DESPACHOS JUDICIALES DEL VALLE DEL CAUCA, TENIENDO EN CUENTA LA EMERGENCIA SANITARIA QUE SE VIENE PRESENTANDO EN EL PAÍS POR CAUSA DEL VIRUS COVID-19."/>
    <d v="2020-05-21T00:00:00"/>
    <d v="2020-05-21T00:00:00"/>
    <n v="2520000"/>
    <n v="0"/>
    <s v="PANAMERICANA LIBRERÍA Y PAPELERIA S.A."/>
    <n v="830037946"/>
    <s v="BAYETILLA DE COLOR ROJO, MEDIDAS 36X50 CM"/>
    <n v="1500"/>
    <s v="UNIDAD"/>
    <n v="1414"/>
    <n v="266"/>
    <n v="2520000"/>
    <x v="22"/>
  </r>
  <r>
    <x v="5"/>
    <s v="OC 49021-2020"/>
    <s v="ADQUISICIÓN DE ALCOHOL PARA LA PREVENCIÓN DEL CONTAGIO DEL VIRUS COVID-19 DE LOS FUNCIONARIOS Y EMPLEADOS DE LAS CORPORACIONES Y DESPACHOS JUDICIALES DEL VALLE DEL CAUCA, TENIENDO EN CUENTA LA EMERGENCIA SANITARIA QUE SE VIENE PRESENTANDO EN EL PAÍS"/>
    <d v="2020-05-22T00:00:00"/>
    <d v="2020-05-22T00:00:00"/>
    <n v="27600000"/>
    <n v="0"/>
    <s v="AESTHETICS &amp; MEDICAL SOLUTIONS SAS"/>
    <n v="900567130"/>
    <s v="ALCOHOL ANTISEPTICO DE USO EXTERNO AL 70%, FRASCO PLASTICO, BOTELLA X 750 CC"/>
    <n v="3000"/>
    <s v="LITRO"/>
    <n v="9200"/>
    <n v="0"/>
    <n v="27600000"/>
    <x v="20"/>
  </r>
  <r>
    <x v="5"/>
    <s v="OC 49166-2020"/>
    <s v="ADQUISICIÓN DE CÁMARAS WEB PARA LAS CORPORACIONES Y DESPACHOS JUDICIALES DEL VALLE DEL CAUCA, TENIENDO EN CUENTA LA EMERGENCIA SANITARIA QUE SE VIENE PRESENTANDO EN EL PAÍS POR CAUSA DEL VIRUS COVID-19._x0009_"/>
    <d v="2020-05-26T00:00:00"/>
    <d v="2020-05-26T00:00:00"/>
    <n v="124500180"/>
    <n v="60547200"/>
    <s v="MULTIVERSE TECH  SERVICES S.A.S"/>
    <n v="900584757"/>
    <s v="CAMARAS WEB PARA COMPUTADOR DE ESCRITORIO - MARCA DIGITECH PRO - RESOLUCIÓN FULL HD 1080P O HD 720P, CON UN CAMPO VISUAL DE HASTA 90 GRADOS, ZOOM DIGITAL 1.2X O 4X, LENTE DE CRISTAL CON CORRECCIÓN DE ILUMINACIÓN AUTOMÁTICA RIGHTLIGTH2 Y ENFOQUE AUTOMÁTICO, INCLUYE SOPORTE AJUSTABLE QUE PERMITA LA COLOCACIÓN SOBRE TODO TIEMPO DE MONITORES, TAPA DE PRIVACIDAD INTEGRADA Y MICRÓFONO CON SUPRESIÓN DE RUIDO, DEBE GARANTIZAR COMPATIBILIDAD CON APLICACIONES DE VIDEOCONFERENCIA Y OTROS EQUIPOS."/>
    <n v="489"/>
    <s v="UNIDAD"/>
    <n v="318000"/>
    <n v="60420"/>
    <n v="185047380"/>
    <x v="31"/>
  </r>
  <r>
    <x v="5"/>
    <s v="OC 49167-2020"/>
    <s v="ADQUISICIÓN DE TOALLAS DE PAPEL PARA MANOS PARA USO DE LOS FUNCIONARIOS Y EMPLEADOS DE LAS CORPORACIONES Y DESPACHOS JUDICIALES DEL VALLE DEL CAUCA, TENIENDO EN CUENTA LA EMERGENCIA SANITARIA QUE SE VIENE PRESENTANDO EN EL PAÍS POR CAUSA DEL VIRUS COVID-19."/>
    <d v="2020-05-26T00:00:00"/>
    <d v="2020-05-26T00:00:00"/>
    <n v="64557207"/>
    <n v="7566432"/>
    <s v="SUMIMAS S.A.S"/>
    <n v="830001381"/>
    <s v="TOALLAS PARA MANOS - ROLLO POR 500 HOJAS"/>
    <n v="5586"/>
    <s v="ROLLO X 100 MTS"/>
    <n v="10850"/>
    <n v="2061.5"/>
    <n v="72123639"/>
    <x v="8"/>
  </r>
  <r>
    <x v="5"/>
    <s v="022-2020"/>
    <s v="CONTRATAR EN NOMBRE DE LA NACIÓN - CONSEJO SUPERIOR DE LA JUDICATURA – DIRECCIÓN EJECUTIVA SECCIONAL DE ADMINISTRACIÓN JUDICIAL DE CALI – VALLE DEL CAUCA, LA ADQUISICIÓN DE LAVAMANOS PORTÁTILES PARA LAS CORPORACIONES Y DESPACHOS JUDICIALES DEL VALLE DEL CAUCA, TENIENDO EN CUENTA LA EMERGENCIA SANITARIA QUE SE VIENE PRESENTANDO EN EL PAÍS POR CAUSA DEL VIRUS COVID-19."/>
    <d v="2020-06-08T00:00:00"/>
    <d v="2020-06-09T00:00:00"/>
    <n v="9282000"/>
    <n v="0"/>
    <s v="FILTRACIÓN INDUSTRIAL Y TRATAMIENTO DE AGUAS LTDA"/>
    <n v="900372268"/>
    <s v="LAVAMANOS PORTATILES EN FIBRA DE VIDRIO"/>
    <n v="13"/>
    <s v="UNIDAD"/>
    <n v="600000"/>
    <n v="114000"/>
    <n v="9282000"/>
    <x v="9"/>
  </r>
  <r>
    <x v="5"/>
    <s v="023-2020"/>
    <s v="CONTRATAR EN NOMBRE DE LA NACIÓN - CONSEJO SUPERIOR DE LA JUDICATURA – DIRECCIÓN EJECUTIVA SECCIONAL DE ADMINISTRACIÓN JUDICIAL DE CALI – VALLE DEL CAUCA, LA ADQUISICIÓN DE GUANTES DE NITRILO Y TAPETES DESINFECTANTES PARA LAS CORPORACIONES Y DESPACHOS JUDICIALES DEL VALLE DEL CAUCA, TENIENDO EN CUENTA LA EMERGENCIA SANITARIA QUE SE VIENE PRESENTANDO EN EL PAÍS POR CAUSA DEL VIRUS COVID-19. "/>
    <d v="2020-06-08T00:00:00"/>
    <d v="2020-06-09T00:00:00"/>
    <n v="87724140"/>
    <n v="87708173"/>
    <s v="REDOX COLOMBIA SAS"/>
    <n v="800078360"/>
    <s v="GUANTES DE NITRILO CAJA DE 100 UNIDADES, 50 PARES"/>
    <n v="2569"/>
    <s v="CAJA X 100"/>
    <n v="63077"/>
    <n v="0"/>
    <n v="162044813"/>
    <x v="10"/>
  </r>
  <r>
    <x v="5"/>
    <s v="023-2020"/>
    <s v="CONTRATAR EN NOMBRE DE LA NACIÓN - CONSEJO SUPERIOR DE LA JUDICATURA – DIRECCIÓN EJECUTIVA SECCIONAL DE ADMINISTRACIÓN JUDICIAL DE CALI – VALLE DEL CAUCA, LA ADQUISICIÓN DE GUANTES DE NITRILO Y TAPETES DESINFECTANTES PARA LAS CORPORACIONES Y DESPACHOS JUDICIALES DEL VALLE DEL CAUCA, TENIENDO EN CUENTA LA EMERGENCIA SANITARIA QUE SE VIENE PRESENTANDO EN EL PAÍS POR CAUSA DEL VIRUS COVID-19. "/>
    <d v="2020-06-08T00:00:00"/>
    <d v="2020-06-09T00:00:00"/>
    <n v="87724140"/>
    <n v="87708173"/>
    <s v="REDOX COLOMBIA SAS"/>
    <n v="800078360"/>
    <s v="TAPETE DESINFECTANTE"/>
    <n v="75"/>
    <s v="UNIDAD"/>
    <n v="150000"/>
    <n v="28500"/>
    <n v="13387500"/>
    <x v="33"/>
  </r>
  <r>
    <x v="5"/>
    <s v="OC 50590-2020"/>
    <s v="ADQUISICIÓN DE CARETAS FACIALES PARA USO DE LOS FUNCIONARIOS Y EMPLEADOS DE LAS CORPORACIONES Y DESPACHOS JUDICIALES DEL VALLE DEL CAUCA, TENIENDO EN CUENTA LA EMERGENCIA SANITARIA QUE SE VIENE PRESENTANDO EN EL PAÍS POR CAUSA DEL VIRUS COVID-19"/>
    <d v="2020-06-17T00:00:00"/>
    <d v="2020-06-17T00:00:00"/>
    <n v="21212130"/>
    <n v="0"/>
    <s v="PLASTICOS FENIX S.A.S"/>
    <n v="890307682"/>
    <s v="CARETAS VISORES (PROTECTOR FACIAL)"/>
    <n v="3000"/>
    <s v="UNIDAD"/>
    <n v="7070.71"/>
    <n v="0"/>
    <n v="21212130"/>
    <x v="11"/>
  </r>
  <r>
    <x v="5"/>
    <s v="025-2020"/>
    <s v="CONTRATAR EN NOMBRE DE LA NACIÓN – CONSEJO SUPERIOR DE LA JUDICATURA – DIRECCIÓN EJECUTIVA SECCIONAL DE ADMINISTRACIÓN JUDICIAL DE CALI – VALLE DEL CAUCA, LA PRESTACIÓN DE SERVICIO DE AUXILIARES DE ENFERMERÍA PARA LAS SEDES JUDICIALES EN EL VALLE DEL CAUCA, TENIENDO EN CUENTA LA EMERGENCIA SANITARIA QUE SE VIENE PRESENTANDO EN EL PAÍS POR CAUSA DEL VIRUS COVID-19 Y LO DISPUESTO EN EL ARTICULO 18 DEL ACUERDO PCSJA20-11567 DEL 05 DE JUNIO DE 2020."/>
    <d v="2020-06-24T00:00:00"/>
    <d v="2020-06-30T00:00:00"/>
    <n v="310500000"/>
    <n v="0"/>
    <s v="CENTRO DE SERVICIOS DE SALUD SANTANGEL SAS"/>
    <n v="900063271"/>
    <s v="SERVICIO DE AUXILIARES DE ENFERMERIA (23 AUXILIARES POR MES PARA 6 MESES)"/>
    <n v="23"/>
    <s v="VALOR MENSUAL POR PERSONA"/>
    <n v="2250000"/>
    <n v="0"/>
    <n v="310500000"/>
    <x v="6"/>
  </r>
  <r>
    <x v="5"/>
    <s v="026-2020"/>
    <s v="CONTRATAR EN NOMBRE DE LA NACIÓN – CONSEJO SUPERIOR DE LA JUDICATURA – DIRECCIÓN EJECUTIVA SECCIONAL DE ADMINISTRACIÓN JUDICIAL DE CALI – VALLE DEL CAUCA, LA ADQUISICION DE DISPENSADORES DE PEDAL PARA ALCOHOL GLICERINADO (GEL ANTIBACTERIAL) Y SUMINISTRO DE TERMÓMETRO INFRARROJO DIGITAL PARA LAS CORPORACIONES Y DESPACHOS JUDICIALES DEL VALLE DEL CAUCA, TENIENDO EN CUENTA LA EMERGENCIA SANITARIA QUE SE VIENE PRESENTANDO EN EL PAÍS POR CAUSA DEL VIRUS COVID-19. "/>
    <d v="2020-07-06T00:00:00"/>
    <d v="2020-07-08T00:00:00"/>
    <n v="13711200"/>
    <n v="0"/>
    <s v="MEGA SUMINISTROS SAS"/>
    <n v="830501019"/>
    <s v="DISPENSADOR METÁLICO DE PEDAL "/>
    <n v="60"/>
    <s v="UNIDAD"/>
    <n v="108000"/>
    <n v="20520"/>
    <n v="7711200"/>
    <x v="12"/>
  </r>
  <r>
    <x v="5"/>
    <s v="026-2020"/>
    <s v="CONTRATAR EN NOMBRE DE LA NACIÓN – CONSEJO SUPERIOR DE LA JUDICATURA – DIRECCIÓN EJECUTIVA SECCIONAL DE ADMINISTRACIÓN JUDICIAL DE CALI – VALLE DEL CAUCA, LA ADQUISICION DE DISPENSADORES DE PEDAL PARA ALCOHOL GLICERINADO (GEL ANTIBACTERIAL) Y SUMINISTRO DE TERMÓMETRO INFRARROJO DIGITAL PARA LAS CORPORACIONES Y DESPACHOS JUDICIALES DEL VALLE DEL CAUCA, TENIENDO EN CUENTA LA EMERGENCIA SANITARIA QUE SE VIENE PRESENTANDO EN EL PAÍS POR CAUSA DEL VIRUS COVID-19. "/>
    <d v="2020-07-06T00:00:00"/>
    <d v="2020-07-08T00:00:00"/>
    <n v="13711200"/>
    <n v="0"/>
    <s v="MEGA SUMINISTROS SAS"/>
    <n v="830501019"/>
    <s v="TERMOMETRO INFRAROJO DIGITAL "/>
    <n v="50"/>
    <s v="UNIDAD"/>
    <n v="120000"/>
    <n v="0"/>
    <n v="6000000"/>
    <x v="21"/>
  </r>
  <r>
    <x v="5"/>
    <s v="027-2020"/>
    <s v="ADQUISICIÓN DE BATAS DE TRABAJO TENIENDO EN CUENTA LA CIRCULAR PCSJC20-15 DE FECHA 16 DE ABRIL DE 2020, EN VIRTUD DEL PROTOCOLO PARA EL MANEJO DE DOCUMENTOS FÍSICOS, MEDIDAS COVID-19."/>
    <d v="2020-07-10T00:00:00"/>
    <d v="2020-07-13T00:00:00"/>
    <n v="24990000"/>
    <n v="0"/>
    <s v="REDOX COLOMBIA SAS"/>
    <n v="800078360"/>
    <s v="BATAS DE TRABAJO ARCHIVO, MANGA LARGA, COLOR BLANCO, DE LARGO 85cm, TALLAS M, L, XL. "/>
    <n v="600"/>
    <s v="UNIDAD"/>
    <n v="35000"/>
    <n v="6650"/>
    <n v="24990000"/>
    <x v="36"/>
  </r>
  <r>
    <x v="5"/>
    <s v="030-2020"/>
    <s v="ADQUISICIÓN DE TAPABOCAS PARA PROTECCIÓN DE LOS FUNCIONARIOS Y EMPLEADOS DE LAS CORPORACIONES Y DESPACHOS JUDICIALES DEL VALLE DEL CAUCA, TENIENDO EN CUENTA LA EMERGENCIA SANITARIA QUE SE VIENE PRESENTANDO EN EL PAÍS POR CAUSA DEL VIRUS COVID-19"/>
    <d v="2020-07-30T00:00:00"/>
    <d v="2020-08-04T00:00:00"/>
    <n v="92268536.230000004"/>
    <n v="0"/>
    <s v="MQ INSTITUCIONAL SAS"/>
    <n v="901171132"/>
    <s v="TAPABOCAS QUIRÚRGICO, TRES (3) CAPAS, TRES (3) PLIEGUES, CON ADAPTADOR NASAL AJUSTABLE, BANDAS ELÁSTICAS PARA AJUSTE EN OREJAS, MEDIDAS APROXIMADAS: 175 MM × 95 MM X ± 2 MM, DEBEN VENIR EN EMPAQUE INDIVIDUAL Y TERMO-SELLADOS."/>
    <n v="4350.34"/>
    <s v="UNIDAD"/>
    <n v="21209.5"/>
    <n v="0"/>
    <n v="92268536.230000004"/>
    <x v="3"/>
  </r>
  <r>
    <x v="6"/>
    <s v="CT04-24-2020"/>
    <s v="ADQUISICIÓN DE DOTACIÓN DE BIOSEGURIDAD CONSISTENTE EN TRAJES DE PROTECCIÓN CORPORAL PARA SERVIDORES JUDICIALES ESPECIALMENTE DE LOS JUZGADOS DE GARANTÍAS, EN LAS CONDICIONES TÉCNICAS, DE CALIDAD Y CANTIDADES REQUERIDAS POR LA ENTIDAD"/>
    <d v="2020-03-19T00:00:00"/>
    <d v="2020-03-19T00:00:00"/>
    <n v="28275723"/>
    <n v="0"/>
    <s v="TECHNICAL SOLUTIONS SAFETY SAS"/>
    <n v="901095058"/>
    <s v="TRAJES DE PROTECCIÓN CORPORAL CARTAGENA"/>
    <n v="1300"/>
    <s v="UNIDAD"/>
    <n v="15309"/>
    <n v="2908.71"/>
    <n v="23683023"/>
    <x v="0"/>
  </r>
  <r>
    <x v="6"/>
    <s v="CT04-24-2020"/>
    <s v="ADQUISICIÓN DE DOTACIÓN DE BIOSEGURIDAD CONSISTENTE EN TRAJES DE PROTECCIÓN CORPORAL PARA SERVIDORES JUDICIALES ESPECIALMENTE DE LOS JUZGADOS DE GARANTÍAS, EN LAS CONDICIONES TÉCNICAS, DE CALIDAD Y CANTIDADES REQUERIDAS POR LA ENTIDAD"/>
    <d v="2020-03-19T00:00:00"/>
    <d v="2020-03-19T00:00:00"/>
    <n v="28275723"/>
    <n v="0"/>
    <s v="TECHNICAL SOLUTIONS SAFETY SAS"/>
    <n v="901095058"/>
    <s v="TRAJES DE PROTECCIÓN CORPORAL SAN ANDRES SIN IVA"/>
    <n v="300"/>
    <s v="UNIDAD"/>
    <n v="15309"/>
    <n v="0"/>
    <n v="4592700"/>
    <x v="0"/>
  </r>
  <r>
    <x v="6"/>
    <s v="CT04-25-2020"/>
    <s v="ADQUISICIÓN DE GEL ANTIBACTERIAL PARA LOS SERVIDORES JUDICIALES Y EMPLEADOS JUDICIALES DE LAS OFICINAS ADMINISTRATIVAS Y DESPACHOS JUDICIALES A CARGO DE LA DIRECCIÓN SECCIONAL DE ADMINISTRACIÓN JUDICIAL DE CARTAGENA."/>
    <d v="2020-03-25T00:00:00"/>
    <d v="2020-03-25T00:00:00"/>
    <n v="8399531"/>
    <n v="0"/>
    <s v="SEBASTIAN VALENCIA ARANGO"/>
    <n v="1047451945"/>
    <s v="GEL ANTIBACTERIAL "/>
    <n v="333.5"/>
    <s v="LITRO"/>
    <n v="25186"/>
    <n v="0"/>
    <n v="8399531"/>
    <x v="4"/>
  </r>
  <r>
    <x v="6"/>
    <s v="CT04-34-2020"/>
    <s v="COMPRA DE TAPABOCAS DESECHABLE Y DE TELA PARA LA PROTECCIÓN PERSONAL DE LOS SERVIDORES JUDICIALES Y EMPLEADOS JUDICIALES DE LAS OFICINAS ADMINISTRATIVAS Y DESPACHOS JUDICIALES_x000a_A CARGO DE LA DIRECCIÓN SECCIONAL DE ADMINISTRACIÓN JUDICIAL DE CARTAGENA."/>
    <d v="2020-05-13T00:00:00"/>
    <d v="2020-05-14T00:00:00"/>
    <n v="34734750"/>
    <n v="0"/>
    <s v="INGENYO S.A.S"/>
    <n v="1062185"/>
    <s v="TAPABOCAS DESECHABLES GMTG15"/>
    <n v="10000"/>
    <s v="UNIDAD"/>
    <n v="1250"/>
    <n v="0"/>
    <n v="12500000"/>
    <x v="3"/>
  </r>
  <r>
    <x v="6"/>
    <s v="CT04-34-2020"/>
    <s v="COMPRA DE TAPABOCAS DESECHABLE Y DE TELA PARA LA PROTECCIÓN PERSONAL DE LOS SERVIDORES JUDICIALES Y EMPLEADOS JUDICIALES DE LAS OFICINAS ADMINISTRATIVAS Y DESPACHOS JUDICIALES_x000a_A CARGO DE LA DIRECCIÓN SECCIONAL DE ADMINISTRACIÓN JUDICIAL DE CARTAGENA."/>
    <d v="2020-05-13T00:00:00"/>
    <d v="2020-05-14T00:00:00"/>
    <n v="34734750"/>
    <n v="0"/>
    <s v="INGENYO S.A.S"/>
    <n v="1062185"/>
    <s v="TAPABOCAS REUTIIZABLES GMTG15"/>
    <n v="7550"/>
    <s v="UNIDAD"/>
    <n v="2945"/>
    <n v="0"/>
    <n v="22234750"/>
    <x v="3"/>
  </r>
  <r>
    <x v="6"/>
    <s v="CT04-36-2020"/>
    <s v="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
    <d v="2020-05-15T00:00:00"/>
    <d v="2020-05-18T00:00:00"/>
    <n v="27782000"/>
    <n v="0"/>
    <s v="VIALCONSULTORES S.A"/>
    <n v="900881350"/>
    <s v="TERMÓMETRO INFRARROJO"/>
    <n v="11"/>
    <s v="UNIDAD"/>
    <n v="430000"/>
    <n v="0"/>
    <n v="4730000"/>
    <x v="21"/>
  </r>
  <r>
    <x v="6"/>
    <s v="CT04-36-2020"/>
    <s v="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
    <d v="2020-05-15T00:00:00"/>
    <d v="2020-05-18T00:00:00"/>
    <n v="27782000"/>
    <n v="0"/>
    <s v="VIALCONSULTORES S.A"/>
    <n v="900881350"/>
    <s v="TOALLA PARA MANOS EN ROLLO 15 CM ANCHO Y 100 M LARGO"/>
    <n v="760"/>
    <s v="ROLLO X 100 MTS"/>
    <n v="21450"/>
    <n v="0"/>
    <n v="16302000"/>
    <x v="8"/>
  </r>
  <r>
    <x v="6"/>
    <s v="CT04-36-2020"/>
    <s v="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
    <d v="2020-05-15T00:00:00"/>
    <d v="2020-05-18T00:00:00"/>
    <n v="27782000"/>
    <n v="0"/>
    <s v="VIALCONSULTORES S.A"/>
    <n v="900881350"/>
    <s v="FRASCO ALCOHOL ANTISÉPTICO AL 70% DE 810 ML"/>
    <n v="1215.1199999999999"/>
    <s v="LITRO"/>
    <n v="5555"/>
    <n v="0"/>
    <n v="6749991.5999999996"/>
    <x v="20"/>
  </r>
  <r>
    <x v="6"/>
    <s v="CT04-38-2020"/>
    <s v="COMPRA DE GUANTES DE NITRILO, PARA LA PROTECCIÓN PERSONAL Y PREVENCIÓN DE CONTAGIO DE COVID-19 DE LOS SERVIDORES JUDICIALES Y EMPLEADOS JUDICIALES DE LAS OFICINAS ADMINISTRATIVAS Y DESPACHOS JUDICIALES A CARGO DE LA DIRECCIÓN SECCIONAL DE ADMINISTRACIÓN JUDICIAL DE CARTAGENA."/>
    <d v="2020-05-20T00:00:00"/>
    <d v="2020-05-21T00:00:00"/>
    <n v="14952000"/>
    <n v="0"/>
    <s v="VIALCONSULTORES S.A"/>
    <n v="900881350"/>
    <s v="CAJA X 100 UNIDADES DE GUANTES DE NITRILO DESECHABLES"/>
    <n v="336"/>
    <s v="CAJA X 100"/>
    <n v="44500"/>
    <n v="0"/>
    <n v="14952000"/>
    <x v="10"/>
  </r>
  <r>
    <x v="6"/>
    <s v="O.C. 47627"/>
    <s v="CONTRATAR EN NOMBRE DE LA NACIÓN – CONSEJO SUPERIOR DE LA JUDICATURA EL SERVICIO DE SUMINISTRO DE GEL ANTIBACTERIAL Y GUANTES QUIRÚRGICOS PARA LOS DIFERENTES DESPACHOS JUDICIALES Y OFICINAS ADMINISTRATIVAS A CARGO DE LA DIRECCIÓN SECCIONAL DE ADMINISTRACIÓN JUDICIAL DE CARTAGENA, ESTE PROCEDIMIENTO SERÁ REALIZADO MEDIANTE LA PLATAFORMA DE TIENDA VIRTUAL DEL ESTADO COLOMBIANO DE COLOMBIA"/>
    <s v="2020/04/27"/>
    <s v="2020/04/27"/>
    <n v="1560000"/>
    <n v="0"/>
    <s v="JM GRUPO EMPRESARIAL S.A.S"/>
    <n v="900353659"/>
    <s v="CAJA X 100 UNIDADES DE GUANTES QUIRÚRGICOS."/>
    <n v="63"/>
    <s v="CAJA X 100"/>
    <n v="20000"/>
    <n v="0"/>
    <n v="1260000"/>
    <x v="18"/>
  </r>
  <r>
    <x v="6"/>
    <s v="O.C. 47628"/>
    <s v="CONTRATAR EN NOMBRE DE LA NACIÓN – CONSEJO SUPERIOR DE LA JUDICATURA EL SERVICIO DE SUMINISTRO DE GEL ANTIBACTERIAL Y GUANTES QUIRÚRGICOS PARA LOS DIFERENTES DESPACHOS JUDICIALES Y OFICINAS ADMINISTRATIVAS A CARGO DE LA DIRECCIÓN SECCIONAL DE ADMINISTRACIÓN JUDICIAL DE CARTAGENA, ESTE PROCEDIMIENTO SERÁ REALIZADO MEDIANTE LA PLATAFORMA DE TIENDA VIRTUAL DEL ESTADO COLOMBIANO DE COLOMBIA"/>
    <s v="2020/04/27"/>
    <s v="2020/04/27"/>
    <n v="17400156"/>
    <n v="0"/>
    <s v="PMI PROYECTOS MONTAJES E INGENIERIA"/>
    <n v="900704052"/>
    <s v="GEL ANTIBACTERIAL 1 LITRO"/>
    <n v="1434"/>
    <s v="LITRO"/>
    <n v="11634"/>
    <n v="0"/>
    <n v="16683156"/>
    <x v="4"/>
  </r>
  <r>
    <x v="6"/>
    <s v="O.C. 48032"/>
    <s v="ADQUISICIÓN DE DOTACIÓN DE TAPABOCAS DESECHABLES Y DE TELA PARA SERVIDORES JUDICIALES Y EMPLEADOS JUDICIALES DE LAS OFICINAS ADMINISTRATIVAS Y DESPACHOS JUDICIALES A CARGO DE LA DIRECCIÓN SECCIONAL DE ADMINISTRACIÓN JUDICIAL DE CARTAGENA."/>
    <d v="2020-05-05T00:00:00"/>
    <d v="2020-05-05T00:00:00"/>
    <n v="52694400"/>
    <n v="0"/>
    <s v="TECNOINNSOFT SAS"/>
    <n v="900935453"/>
    <s v="TAPABOCAS DESECHABLES"/>
    <n v="10000"/>
    <s v="UNIDAD"/>
    <n v="1300"/>
    <n v="0"/>
    <n v="13000000"/>
    <x v="3"/>
  </r>
  <r>
    <x v="6"/>
    <s v="O.C. 48032"/>
    <s v="ADQUISICIÓN DE DOTACIÓN DE TAPABOCAS DESECHABLES Y DE TELA PARA SERVIDORES JUDICIALES Y EMPLEADOS JUDICIALES DE LAS OFICINAS ADMINISTRATIVAS Y DESPACHOS JUDICIALES A CARGO DE LA DIRECCIÓN SECCIONAL DE ADMINISTRACIÓN JUDICIAL DE CARTAGENA."/>
    <d v="2020-05-05T00:00:00"/>
    <d v="2020-05-05T00:00:00"/>
    <n v="52694400"/>
    <n v="0"/>
    <s v="TECNOINNSOFT SAS"/>
    <n v="900935453"/>
    <s v="TAPABOCAS DOBLE TELA"/>
    <n v="13000"/>
    <s v="UNIDAD"/>
    <n v="2950"/>
    <n v="0"/>
    <n v="38350000"/>
    <x v="3"/>
  </r>
  <r>
    <x v="6"/>
    <s v="O.C. 48033"/>
    <s v="ADQUISICIÓN DE DOTACIÓN DE GUANTES DE NITRILO PARA SERVIDORES JUDICIALES Y EMPLEADOS JUDICIALES DE LAS OFICINAS ADMINISTRATIVAS Y DESPACHOS JUDICIALES A CARGO DE LA DIRECCIÓN SECCIONAL DE ADMINISTRACIÓN JUDICIAL DE CARTAGENA."/>
    <d v="2020-05-05T00:00:00"/>
    <d v="2020-05-05T00:00:00"/>
    <n v="9600000"/>
    <n v="0"/>
    <s v="JM GRUPO EMPRESARIAL S.A.S"/>
    <n v="900353659"/>
    <s v="GUANTES DE NITRILO CAJA X 100"/>
    <n v="200"/>
    <s v="CAJA X 100"/>
    <n v="45000"/>
    <n v="0"/>
    <n v="9000000"/>
    <x v="10"/>
  </r>
  <r>
    <x v="6"/>
    <s v="O.C. 48052"/>
    <s v="SERVICIO DE SUMINISTRO DE ELEMENTOS DE PROTECCIÓN PERSONAL Y ASEO, JABON LIQUIDO PARA MANOS, PARA LOS DIFERENTES DESPACHOS JUDICIALES Y OFICINAS ADMINISTRATIVAS A CARGO DE LA DIRECCIÓN SECCIONAL DE ADMINISTRACIÓN JUDICIAL DE CARTAGENA"/>
    <d v="2020-05-05T00:00:00"/>
    <d v="2020-05-05T00:00:00"/>
    <n v="3532000"/>
    <n v="0"/>
    <s v="PAPER BOX SP SAS"/>
    <n v="900791672"/>
    <s v="JABÓN LÍQ_MANOS PLÁST. 3.785 CC"/>
    <n v="484.5"/>
    <s v="LITRO"/>
    <n v="5680"/>
    <n v="0"/>
    <n v="2751960"/>
    <x v="5"/>
  </r>
  <r>
    <x v="6"/>
    <s v="O.C. 48718"/>
    <s v="SERVICIO DE SUMINISTRO DE PANOLAS O BAYETILLAS Y BOLSAS PLÁSTICAS DE BIOSEGURIDAD PARA LOS DIFERENTES DESPACHOS JUDICIALES Y OFICINAS ADMINISTRATIVAS A CARGO DE LA DIRECCIÓN SECCIONAL DE ADMINISTRACIÓN JUDICIAL DE CARTAGENA"/>
    <d v="2020-05-18T00:00:00"/>
    <d v="2020-05-18T00:00:00"/>
    <n v="2192694"/>
    <n v="0"/>
    <s v="PANAMERICANA PAPELERIA Y LIBRERÍA"/>
    <n v="830037946"/>
    <s v="BAYETILLA BLANCA 35X50 CMS"/>
    <n v="268"/>
    <s v="UNIDAD"/>
    <n v="1500"/>
    <n v="285"/>
    <n v="478380"/>
    <x v="22"/>
  </r>
  <r>
    <x v="6"/>
    <s v="O.C. 48718"/>
    <s v="SERVICIO DE SUMINISTRO DE PANOLAS O BAYETILLAS Y BOLSAS PLÁSTICAS DE BIOSEGURIDAD PARA LOS DIFERENTES DESPACHOS JUDICIALES Y OFICINAS ADMINISTRATIVAS A CARGO DE LA DIRECCIÓN SECCIONAL DE ADMINISTRACIÓN JUDICIAL DE CARTAGENA"/>
    <d v="2020-05-18T00:00:00"/>
    <d v="2020-05-18T00:00:00"/>
    <n v="2192694"/>
    <n v="0"/>
    <s v="PANAMERICANA PAPELERIA Y LIBRERÍA"/>
    <n v="830037946"/>
    <s v="BOLSA PLÁSTICA ROJA 50X60 CMS"/>
    <n v="37"/>
    <s v="PAQUETE X 100"/>
    <n v="16800"/>
    <n v="3192"/>
    <n v="739704"/>
    <x v="37"/>
  </r>
  <r>
    <x v="6"/>
    <s v="O.C. 48718"/>
    <s v="SERVICIO DE SUMINISTRO DE PANOLAS O BAYETILLAS Y BOLSAS PLÁSTICAS DE BIOSEGURIDAD PARA LOS DIFERENTES DESPACHOS JUDICIALES Y OFICINAS ADMINISTRATIVAS A CARGO DE LA DIRECCIÓN SECCIONAL DE ADMINISTRACIÓN JUDICIAL DE CARTAGENA"/>
    <d v="2020-05-18T00:00:00"/>
    <d v="2020-05-18T00:00:00"/>
    <n v="2192694"/>
    <n v="0"/>
    <s v="PANAMERICANA PAPELERIA Y LIBRERÍA"/>
    <n v="830037946"/>
    <s v="BOLSA PLÁSTICA ROJA 50X50 CMS"/>
    <n v="63"/>
    <s v="PAQUETE X 100"/>
    <n v="13000"/>
    <n v="2470"/>
    <n v="974610"/>
    <x v="37"/>
  </r>
  <r>
    <x v="6"/>
    <s v="O.C. 49620"/>
    <s v="SUMINISTRO CARETAS ANTIFLUIDOS PARA LOS EMPLEADOS DE LOS DIFERENTES DESPACHOS JUDICIALES Y OFICINAS ADMINISTRATIVAS A CARGO DE LA DIRECCIÓN SECCIONAL DE ADMINISTRACIÓN JUDICIAL DE CARTAGENA, ESTE PROCEDIMIENTO SERÁ REALIZADO MEDIANTE GRANDES SUPERFICIES DE LA PLATAFORMA DE TIENDA VIRTUAL DEL ESTADO COLOMBIANO DE COLOMBIA COMPRA EFICIENTE."/>
    <d v="2020-06-01T00:00:00"/>
    <d v="2020-06-01T00:00:00"/>
    <n v="2672925"/>
    <n v="0"/>
    <s v="COLOMBIANA DE COMERCIO S.A_x000a_Y/O ALKOSTO S.A"/>
    <n v="890900943"/>
    <s v="CARETA ANTIFLUIDOS"/>
    <n v="471"/>
    <s v="UNIDAD"/>
    <n v="5675"/>
    <n v="0"/>
    <n v="2672925"/>
    <x v="11"/>
  </r>
  <r>
    <x v="6"/>
    <s v="O.C. 49715"/>
    <s v="SUMINISTRO DE DISPENSADORES DE GEL O_x000a_JABÓN PARA LOS DIFERENTES DESPACHOS JUDICIALES Y_x000a_OFICINAS ADMINISTRATIVAS A CARGO DE LA DIRECCIÓN_x000a_SECCIONAL DE ADMINISTRACIÓN JUDICIAL DE_x000a_CARTAGENA,"/>
    <d v="2020-06-02T00:00:00"/>
    <d v="2020-06-02T00:00:00"/>
    <n v="2600000"/>
    <n v="0"/>
    <s v="CENCOSUD COLOMBIA S.A."/>
    <n v="900155107"/>
    <s v="DISPENSADOR DE GEL PLANO EN TUBERIA DE 1 PULGADA"/>
    <n v="20"/>
    <s v="UNIDAD"/>
    <n v="109244"/>
    <n v="20756.36"/>
    <n v="2600007.2000000002"/>
    <x v="12"/>
  </r>
  <r>
    <x v="6"/>
    <s v="O.C. 49843"/>
    <s v="SUMINISTRO DE TAPABOCAS DE TELA PARA_x000a_LOS DIFERENTES DESPACHOS JUDICIALES Y OFICINAS_x000a_ADMINISTRATIVAS A CARGO DE LA DIRECCIÓN SECCIONAL_x000a_DE ADMINISTRACIÓN JUDICIAL DE CARTAGENA,"/>
    <d v="2020-06-04T00:00:00"/>
    <d v="2020-06-04T00:00:00"/>
    <n v="11123450"/>
    <n v="0"/>
    <s v="COMERCIALIZADORA ARTURO_x000a_CALLE"/>
    <n v="900342297"/>
    <s v="TAPABOCA TELA POLYESTER ANTIFLUIDO"/>
    <n v="7000"/>
    <s v="UNIDAD"/>
    <n v="1580"/>
    <n v="0"/>
    <n v="11060000"/>
    <x v="3"/>
  </r>
  <r>
    <x v="6"/>
    <s v="O.C. 50863"/>
    <s v="SUMINISTRO DE CARETAS ANTIFLUIDOS PARA LOS EMPLEADOS DE LOS DIFERENTES DESPACHOS JUDICIALES Y OFICINAS ADMINISTRATIVAS A CARGO DE LA DIRECCIÓN SECCIONAL DE ADMINISTRACIÓN JUDICIAL DE CARTAGENA, "/>
    <d v="2020-06-23T00:00:00"/>
    <d v="2020-06-23T00:00:00"/>
    <n v="3778000"/>
    <n v="0"/>
    <s v="PLASTICOS FENIX SAS"/>
    <n v="890307682"/>
    <s v="CARETA VISOR (PROTECTOR FACIAL)"/>
    <n v="529"/>
    <s v="UNIDAD"/>
    <n v="7000"/>
    <n v="0"/>
    <n v="3703000"/>
    <x v="11"/>
  </r>
  <r>
    <x v="6"/>
    <s v="O.C. 51093"/>
    <s v="SUMINISTRO DE GEL ANTIBACTERIAL, PARA LOS_x000a_EMPLEADOS DE LOS DIFERENTES DESPACHOS JUDICIALES_x000a_Y OFICINAS ADMINISTRATIVAS A CARGO DE LA DIRECCIÓN_x000a_SECCIONAL DE ADMINISTRACIÓN JUDICIAL DE_x000a_CARTAGENA,"/>
    <d v="2020-06-26T00:00:00"/>
    <d v="2020-06-26T00:00:00"/>
    <n v="2457000"/>
    <n v="0"/>
    <s v="COSMETICOS SAMY S.A."/>
    <n v="811008383"/>
    <s v="GEL ANTIBACTERIAL"/>
    <n v="379.98"/>
    <s v="LITRO"/>
    <n v="6466"/>
    <n v="0"/>
    <n v="2456950.6800000002"/>
    <x v="4"/>
  </r>
  <r>
    <x v="6"/>
    <s v="O.C. 51157"/>
    <s v="SUMINISTRO DE CANECAS DE BIOSEGURIDAD PARA LOS EDIFICIOS A CARGO DE LA DIRECCIÓN SECCIONAL DE ADMINISTRACIÓN JUDICIAL DE CARTAGENA,"/>
    <d v="2020-06-26T00:00:00"/>
    <d v="2020-06-26T00:00:00"/>
    <n v="1264500"/>
    <n v="0"/>
    <s v="PANAMERICANA LIBRERÍA Y_x000a_PAPELERÍA S.A."/>
    <n v="830037946"/>
    <s v="PAPELERA PEDAL REDONDA 12 LT"/>
    <n v="45"/>
    <s v="UNIDAD"/>
    <n v="28100"/>
    <n v="0"/>
    <n v="1264500"/>
    <x v="15"/>
  </r>
  <r>
    <x v="6"/>
    <s v="O.C. 51349"/>
    <s v="SUMINISTRO DE CANECAS DE DESECHOS PARA LOS EDIFICIOS A CARGO DE LA DIRECCIÓN SECCIONAL DE ADMINISTRACIÓN JUDICIAL DE CARTAGENA,"/>
    <d v="2020-07-01T00:00:00"/>
    <d v="2020-07-01T00:00:00"/>
    <n v="14984700"/>
    <n v="0"/>
    <s v="PANAMERICANA LIBRERÍA Y PAPELERÍA S.A."/>
    <n v="830037946"/>
    <s v="CANECA TAPA VAIVEN"/>
    <n v="172"/>
    <s v="UNIDAD"/>
    <n v="57400"/>
    <n v="0"/>
    <n v="9872800"/>
    <x v="15"/>
  </r>
  <r>
    <x v="6"/>
    <s v="O.C. 51349"/>
    <s v="SUMINISTRO DE CANECAS DE DESECHOS PARA LOS EDIFICIOS A CARGO DE LA DIRECCIÓN SECCIONAL DE ADMINISTRACIÓN JUDICIAL DE CARTAGENA,"/>
    <d v="2020-07-01T00:00:00"/>
    <d v="2020-07-01T00:00:00"/>
    <n v="14984700"/>
    <n v="0"/>
    <s v="PANAMERICANA LIBRERÍA Y PAPELERÍA S.A."/>
    <n v="830037946"/>
    <s v="CANECA TAPA PEDAL"/>
    <n v="97"/>
    <s v="UNIDAD"/>
    <n v="52700"/>
    <n v="0"/>
    <n v="5111900"/>
    <x v="15"/>
  </r>
  <r>
    <x v="7"/>
    <s v="C003-2020"/>
    <s v="SUMINISTRO DE_x000a_DOSCIENTAS CINCUENTA (250) CAJAS X (50 UNIDADES) DE TAPABOCAS COMÚN; Y_x000a_SEISCIENTAS (600) UNIDADES DE TAPABOCAS RESPIRADOR N95."/>
    <d v="2020-04-30T00:00:00"/>
    <d v="2020-03-30T00:00:00"/>
    <n v="27875000"/>
    <n v="0"/>
    <s v="CARLOS ALFREDO RANGEL_x000a_SANDOVAL"/>
    <n v="152446212"/>
    <s v="TAPABOCAS COMÚN CON ELÁSTICO"/>
    <n v="12500"/>
    <s v="UNIDAD"/>
    <n v="1750"/>
    <n v="0"/>
    <n v="21875000"/>
    <x v="3"/>
  </r>
  <r>
    <x v="7"/>
    <s v="C003-2020"/>
    <s v="SUMINISTRO DE DOSCIENTAS CINCUENTA (250) CAJAS X (50 UNIDADES) DE TAPABOCAS COMÚN; Y SEISCIENTAS (600) UNIDADES DE TAPABOCAS RESPIRADOR N95."/>
    <d v="2020-04-30T00:00:00"/>
    <d v="2020-03-30T00:00:00"/>
    <n v="27875000"/>
    <n v="0"/>
    <s v="CARLOS ALFREDO RANGEL_x000a_SANDOVAL"/>
    <n v="152446212"/>
    <s v="TAPABOCAS RESPIRADOR N95 M8210"/>
    <n v="600"/>
    <s v="UNIDAD"/>
    <n v="10000"/>
    <n v="0"/>
    <n v="6000000"/>
    <x v="3"/>
  </r>
  <r>
    <x v="7"/>
    <s v="C004-2020"/>
    <s v="SERVICIO DE TRES (3) CICLOS DE DESINFECCION POR MEDIO DE ASPERSIÓN PARA VIRUS, BACTERIAS, Y HONGOS, LOS DESPACHOS JUDICIALES Y ÁREAS DE ARCHIVOS DEL BLOQUE A, B, Y C, GIMNASIO Y ZONAS COMUNES DEL PALACIO DE JUSTICIA DE CÚCUTA…"/>
    <d v="2020-04-16T00:00:00"/>
    <d v="2020-04-21T00:00:00"/>
    <n v="38556000"/>
    <n v="0"/>
    <s v="AGROFORESTALES WILMADERAS S.A.S"/>
    <n v="900588802"/>
    <s v="TRES (3) CICLOS DE DESINFECCIÓN POR MEDIO DE ASPERSIÓN"/>
    <n v="3"/>
    <s v="GLOBAL"/>
    <n v="10800000"/>
    <n v="2052000"/>
    <n v="38556000"/>
    <x v="38"/>
  </r>
  <r>
    <x v="7"/>
    <s v="O.C. 47390"/>
    <s v="COMPRA DE TEMOMETROS INFLAROJOS, GUANTES DE VITRILO PAPELERA PEDAL 22LT"/>
    <d v="2020-04-24T00:00:00"/>
    <d v="2020-04-24T00:00:00"/>
    <n v="37196160"/>
    <n v="0"/>
    <s v="PANAMERICANA LIBRERÍA Y PAPELERÍA S.A."/>
    <n v="800037946"/>
    <s v="GUANTE NITRILO CAJA X100"/>
    <n v="93"/>
    <s v="CAJA X 100"/>
    <n v="57800"/>
    <n v="0"/>
    <n v="5375400"/>
    <x v="10"/>
  </r>
  <r>
    <x v="7"/>
    <s v="O.C. 47390"/>
    <s v="COMPRA DE TEMOMETROS INFLAROJOS, GUANTES DE VITRILO PAPELERA PEDAL 22LT"/>
    <d v="2020-04-24T00:00:00"/>
    <d v="2020-04-24T00:00:00"/>
    <n v="37196160"/>
    <n v="0"/>
    <s v="PANAMERICANA LIBRERÍA Y PAPELERÍA S.A."/>
    <n v="800037946"/>
    <s v="TERMÓMETRO DIGITAL  INFRARROJO"/>
    <n v="18"/>
    <s v="UNIDAD"/>
    <n v="631600"/>
    <n v="0"/>
    <n v="11368800"/>
    <x v="21"/>
  </r>
  <r>
    <x v="7"/>
    <s v="O.C. 47390"/>
    <s v="COMPRA DE TEMOMETROS INFLAROJOS, GUANTES DE VITRILO PAPELERA PEDAL 22LT"/>
    <d v="2020-04-24T00:00:00"/>
    <d v="2020-04-24T00:00:00"/>
    <n v="37196160"/>
    <n v="0"/>
    <s v="PANAMERICANA LIBRERÍA Y PAPELERÍA S.A."/>
    <n v="800037946"/>
    <s v="TAPABOCAS DESECHABLE"/>
    <n v="33000"/>
    <s v="UNIDAD"/>
    <n v="541"/>
    <n v="0"/>
    <n v="17853000"/>
    <x v="3"/>
  </r>
  <r>
    <x v="7"/>
    <s v="O.C. 47390"/>
    <s v="COMPRA DE TEMOMETROS INFLAROJOS, GUANTES DE VITRILO PAPELERA PEDAL 22LT"/>
    <d v="2020-04-24T00:00:00"/>
    <d v="2020-04-24T00:00:00"/>
    <n v="37196160"/>
    <n v="0"/>
    <s v="PANAMERICANA LIBRERÍA Y PAPELERÍA S.A."/>
    <n v="800037946"/>
    <s v="PAPELERA PEDAL DE 22LITROS"/>
    <n v="60"/>
    <s v="UNIDAD"/>
    <n v="43316"/>
    <n v="0"/>
    <n v="2598960"/>
    <x v="15"/>
  </r>
  <r>
    <x v="7"/>
    <s v="AO-013-2020"/>
    <s v="CONTRATAR EN NOMBRE DE LA NACIÓN CONSEJO SUPERIOR DE LA JUDICATURA – DIRECCIÓN SECCIONAL DE ADMINISTRACIÓN JUDICIAL DE CÚCUTA, EL SUMINISTRO DE 500 BATAS PARA LOS DESPACHOS JUDICIALES DE LOS MUNICIPIOS DE LOS DEPARTAMENTOS DE NORTE DE SANTANDER Y ARAUCA, EN LAS CONDICIONES TÉCNICAS DE CALIDAD Y CANTIDAD ESTABLECIDAS POR EL CONSEJO SUPERIOR DE LA JUDICATURA."/>
    <d v="2020-05-18T00:00:00"/>
    <d v="2020-05-19T00:00:00"/>
    <n v="17409500"/>
    <n v="0"/>
    <s v="SUPERIOR DE DOTACIONES SAS"/>
    <n v="8301448751"/>
    <s v="BATAS EN TELA POLIÉSTER Y ALGODÓN, MANGA CORTA. "/>
    <n v="500"/>
    <s v="UNIDAD"/>
    <n v="34819"/>
    <n v="0"/>
    <n v="17409500"/>
    <x v="36"/>
  </r>
  <r>
    <x v="7"/>
    <s v="AO-014-2020"/>
    <s v="CONTRATAR EN NOMBRE DE LA NACIÓN CONSEJO SUPERIOR DE LA JUDICATURA – DIRECCIÓN SECCIONAL DE ADMINISTRACIÓN JUDICIAL DE CÚCUTA, EL SUMINISTRO DE 51 TERMÓMETROS DIGITAL SIN CONTACTO PARA LOS DESPACHOS JUDICIALES DE LOS MUNICIPIOS DE LOS DEPARTAMENTOS DE NORTE DE SANTANDER Y ARAUCA, EN LAS CONDICIONES TÉCNICAS DE CALIDAD Y CANTIDAD ESTABLECIDAS POR EL CONSEJO SUPERIOR DE LA JUDICATURA."/>
    <d v="2020-05-22T00:00:00"/>
    <d v="2020-05-26T00:00:00"/>
    <n v="13770000"/>
    <n v="0"/>
    <s v="SUMINISTROS DE LABORATORIO KSALAB"/>
    <n v="900745087"/>
    <s v="TERMÓMETRO DIGITAL INFRARROJO SIN CONTACTO"/>
    <n v="51"/>
    <s v="UNIDAD"/>
    <n v="270000"/>
    <n v="0"/>
    <n v="13770000"/>
    <x v="21"/>
  </r>
  <r>
    <x v="7"/>
    <s v="AO-015-2020"/>
    <s v="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
    <d v="2020-05-26T00:00:00"/>
    <d v="2020-05-27T00:00:00"/>
    <n v="18549720"/>
    <n v="0"/>
    <s v="MANTENIMIENTOS INDUSTRIALES WILLIAM ARAQUE"/>
    <n v="1090509490"/>
    <s v="LAVAMANOS PORTÁTILES ACERO INOX."/>
    <n v="2"/>
    <s v="UNIDAD"/>
    <n v="1522500"/>
    <n v="289275"/>
    <n v="3623550"/>
    <x v="9"/>
  </r>
  <r>
    <x v="7"/>
    <s v="AO-015-2020"/>
    <s v="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
    <d v="2020-05-26T00:00:00"/>
    <d v="2020-05-27T00:00:00"/>
    <n v="18549720"/>
    <n v="0"/>
    <s v="MANTENIMIENTOS INDUSTRIALES WILLIAM ARAQUE"/>
    <n v="1090509490"/>
    <s v="LAVAMANOS FIJOS ACERO INOX."/>
    <n v="6"/>
    <s v="UNIDAD"/>
    <n v="758000"/>
    <n v="144020"/>
    <n v="5412120"/>
    <x v="9"/>
  </r>
  <r>
    <x v="7"/>
    <s v="AO-015-2020"/>
    <s v="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
    <d v="2020-05-26T00:00:00"/>
    <d v="2020-05-27T00:00:00"/>
    <n v="18549720"/>
    <n v="0"/>
    <s v="MANTENIMIENTOS INDUSTRIALES WILLIAM ARAQUE"/>
    <n v="1090509490"/>
    <s v="DISPENSADOR DE ANTIBACTERIAL ACERO INOX."/>
    <n v="39"/>
    <s v="UNIDAD"/>
    <n v="205000"/>
    <n v="38950"/>
    <n v="9514050"/>
    <x v="12"/>
  </r>
  <r>
    <x v="7"/>
    <s v="AO-016-2020"/>
    <s v="CONTRATAR EN NOMBRE DE LA NACIÓN CONSEJO SUPERIOR DE LA JUDICATURA – DIRECCIÓN SECCIONAL DE ADMINISTRACIÓN JUDICIAL DE CÚCUTA, EL SUMINISTRO DE: 47 BANDEJAS MEDIANAS (60X50CMS) PARA DESINFECCIÓN DE CALZADO CON PAÑO ESPECIAL ABSORBENTE (PARA EVITAR DERRAMES O SALPICADURAS FUERA DEL ÁREA), Y TAPETE PARA SECAR SUELA DE ZAPATOS (DESPUÉS DE DESINFECTAR PARA NO DERRAMAR LÍQUIDO EN EL PISO); Y 12 BANDEJAS GRANDES (60X120CMS) PARA DESINFECCIÓN DE CALZADO CON PAÑO ESPECIAL ABSORBENTE (PARA EVITAR DERRAMDERRAMES O SALPICADURAS FUERA DEL ÁREA), Y TAPETE PARA SECAR SUELA DE ZAPATOS (DESPUÉS DE DESINFECTAR PARA NO DERRAMAR LÍQUIDO, EN LAS CONDICIONES TÉCNICAS DE CALIDAD Y CANTIDAD ESTABLECIDAS POR EL CONSEJO SUPERIOR DE LA JUDICATURA."/>
    <d v="2020-06-03T00:00:00"/>
    <d v="2020-06-03T00:00:00"/>
    <n v="22580250"/>
    <n v="0"/>
    <s v="MANTENIMIENTOS INDUSTRIALES WILLIAM ARAQUE "/>
    <n v="1090509490"/>
    <s v="BANDEJA PARA DESINFECCIÓN DE CALZADO 60X50 CM LAMINA CAL.18"/>
    <n v="47"/>
    <s v="UNIDAD"/>
    <n v="285000"/>
    <n v="54150"/>
    <n v="15940050"/>
    <x v="33"/>
  </r>
  <r>
    <x v="7"/>
    <s v="AO-016-2020"/>
    <s v="CONTRATAR EN NOMBRE DE LA NACIÓN CONSEJO SUPERIOR DE LA JUDICATURA – DIRECCIÓN SECCIONAL DE ADMINISTRACIÓN JUDICIAL DE CÚCUTA, EL SUMINISTRO DE: 47 BANDEJAS MEDIANAS (60X50CMS) PARA DESINFECCIÓN DE CALZADO CON PAÑO ESPECIAL ABSORBENTE (PARA EVITAR DERRAMES O SALPICADURAS FUERA DEL ÁREA), Y TAPETE PARA SECAR SUELA DE ZAPATOS (DESPUÉS DE DESINFECTAR PARA NO DERRAMAR LÍQUIDO EN EL PISO); Y 12 BANDEJAS GRANDES (60X120CMS) PARA DESINFECCIÓN DE CALZADO CON PAÑO ESPECIAL ABSORBENTE (PARA EVITAR DERRAMDERRAMES O SALPICADURAS FUERA DEL ÁREA), Y TAPETE PARA SECAR SUELA DE ZAPATOS (DESPUÉS DE DESINFECTAR PARA NO DERRAMAR LÍQUIDO, EN LAS CONDICIONES TÉCNICAS DE CALIDAD Y CANTIDAD ESTABLECIDAS POR EL CONSEJO SUPERIOR DE LA JUDICATURA."/>
    <d v="2020-06-03T00:00:00"/>
    <d v="2020-06-03T00:00:00"/>
    <n v="22580250"/>
    <n v="0"/>
    <s v="MANTENIMIENTOS INDUSTRIALES WILLIAM ARAQUE "/>
    <n v="1090509490"/>
    <s v="BANDEJA PARA DESINFECCION CALZADO 60X120 CM LAMINA CAL.18"/>
    <n v="12"/>
    <s v="UNIDAD"/>
    <n v="465000"/>
    <n v="88350"/>
    <n v="6640200"/>
    <x v="33"/>
  </r>
  <r>
    <x v="7"/>
    <s v="O.C. 48657"/>
    <s v="SUMINISTRO DE TAPABOCAS PARA LA EMERGENCIA DEL COVID 19"/>
    <d v="2020-05-18T00:00:00"/>
    <d v="2020-05-18T00:00:00"/>
    <n v="189000000"/>
    <n v="0"/>
    <s v="TECNOINNSOFT SAS"/>
    <n v="9009354530"/>
    <s v="TAPABOCAS DESECHABLES"/>
    <n v="145000"/>
    <s v="UNIDAD"/>
    <n v="1300"/>
    <n v="0"/>
    <n v="188500000"/>
    <x v="3"/>
  </r>
  <r>
    <x v="7"/>
    <s v="O.C. 48659"/>
    <s v="SUMINISTRO DE GUANTES DE NITRITO PARA ATENDER LA EMERGENCIA COVID 19"/>
    <d v="2020-05-18T00:00:00"/>
    <d v="2020-05-18T00:00:00"/>
    <n v="28900000"/>
    <n v="0"/>
    <s v="PANAMERICANA PAPELERIA Y LIBRERÍA SAS"/>
    <n v="830037946"/>
    <s v="GUANTE NITRILO CAJA X100"/>
    <n v="500"/>
    <s v="CAJA X 100"/>
    <n v="57800"/>
    <n v="0"/>
    <n v="28900000"/>
    <x v="10"/>
  </r>
  <r>
    <x v="7"/>
    <s v="O.C. 48594"/>
    <s v=" SUMINISTRO DE TAPABOCAS PARA LA EMERGENCIA DEL COVID 19"/>
    <d v="2020-05-15T00:00:00"/>
    <d v="2020-05-15T00:00:00"/>
    <n v="5445000"/>
    <n v="0"/>
    <s v="FABIAN PEREZ"/>
    <n v="807369955"/>
    <s v="TAPABOCAS DESECHABLES"/>
    <n v="5000"/>
    <s v="UNIDAD"/>
    <n v="989"/>
    <n v="0"/>
    <n v="4945000"/>
    <x v="3"/>
  </r>
  <r>
    <x v="7"/>
    <s v="AO-020-2020"/>
    <s v=" la prestación del servicio de dieciocho (18) vigías de la salud a fin de que desarrollen las funciones de que trata el art 18 del acuerdo PCSJA20-11567 en las sedes de esta Dirección Seccional de Administración Judicial, incluido la toma de temperatura, para la prevención del contagio y propagación del covid-19; en las condiciones técnicas de calidad y cantidad establecidas por el Consejo Superior de la Judicatura."/>
    <d v="2020-06-24T00:00:00"/>
    <d v="2020-06-23T00:00:00"/>
    <n v="87606036"/>
    <n v="0"/>
    <s v="MANTENIMIENTO HELIO E.S.T. SAS"/>
    <n v="807003817"/>
    <s v="VIGIAS DE LA SALUD (POR 3 MESES)"/>
    <n v="18"/>
    <s v="VALOR MENSUAL POR PERSONA"/>
    <n v="1622334"/>
    <n v="0"/>
    <n v="87606036"/>
    <x v="6"/>
  </r>
  <r>
    <x v="7"/>
    <s v="AO-021-2020"/>
    <s v="CONTRATAR EN NOMBRE DE LA NACIÓN CONSEJO SUPERIOR DE LA JUDICATURA – DIRECCIÓN SECCIONAL DE ADMINISTRACIÓN JUDICIAL DE CÚCUTA, EL SUMINISTRO DE 60 PORTA DISPENSADOR DE ANTIBACTERIAL PARA LA PREVENCIÓN DE LA PANDEMIA COVID19; EN LAS CONDICIONES TÉCNICAS DE CALIDAD Y CANTIDAD ESTABLECIDAS POR EL CONSEJO SUPERIOR DE LA JUDICATURA"/>
    <d v="2020-06-25T00:00:00"/>
    <d v="2020-06-30T00:00:00"/>
    <n v="8568000"/>
    <n v="0"/>
    <s v="NOHORA HAYDEE VILLAMIZAR VIVAS"/>
    <n v="372476171"/>
    <s v="DISPENSADOR DE GEL EN ACERO INOXIDABLE"/>
    <n v="60"/>
    <s v="UNIDAD"/>
    <n v="120000"/>
    <n v="22800"/>
    <n v="8568000"/>
    <x v="12"/>
  </r>
  <r>
    <x v="8"/>
    <s v="CUM26-001"/>
    <s v="ADQUISICIÓN DE TRAJES DE BIOSEGURIDAD COMO MEDIDA DE PREVENCIÓN DE CONTAGIO Y PROPAGACIÓN DEL COVID-19 DE LOS SERVIDORES QUE LABORAN EN EL DISTRITO JUDICIAL DE IBAGUÉ, EN ATENCIÓN A LA DECLARATORIA DE URGENCIA MANIFIESTA REALIZADA POR EL CSJ"/>
    <d v="2020-03-27T00:00:00"/>
    <d v="2020-03-27T00:00:00"/>
    <n v="4000000"/>
    <n v="0"/>
    <s v="INCINERADOS DEL HUILA – INCIHUILA S.A. E.S.P."/>
    <n v="813005241"/>
    <s v="TRAJE DE PROTECCION CORPORAL EN TELA JURIDICA"/>
    <n v="200"/>
    <s v="UNIDAD"/>
    <n v="16806.72"/>
    <n v="3193.2768000000001"/>
    <n v="3999999.3600000003"/>
    <x v="0"/>
  </r>
  <r>
    <x v="8"/>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TAPABOCA QUIRURIGICO INDUSTRIAL 2 BANDAS"/>
    <n v="26000"/>
    <s v="UNIDAD"/>
    <n v="1100"/>
    <n v="0"/>
    <n v="28600000"/>
    <x v="3"/>
  </r>
  <r>
    <x v="8"/>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GUANTES DE NITRILO DIFERENTES TALLAS CAJA X 100"/>
    <n v="600"/>
    <s v="CAJA X 100"/>
    <n v="42100"/>
    <n v="0"/>
    <n v="25260000"/>
    <x v="10"/>
  </r>
  <r>
    <x v="8"/>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TOALLAS PARA MANOS X 150 UNIDADES"/>
    <n v="491"/>
    <s v="PAQUETE X 150"/>
    <n v="6975"/>
    <n v="0"/>
    <n v="3424725"/>
    <x v="8"/>
  </r>
  <r>
    <x v="8"/>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GEL ANTIBACTERIAL CONCENTRACIÓN MINIMA DEL 60%"/>
    <n v="2660"/>
    <s v="LITRO"/>
    <n v="15478.947368421053"/>
    <n v="0"/>
    <n v="41174000"/>
    <x v="4"/>
  </r>
  <r>
    <x v="8"/>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JABÓN ANTIBACTERIAL CONCENTRACIÓN MINIMA DEL 6%"/>
    <n v="2400"/>
    <s v="LITRO"/>
    <n v="7500"/>
    <n v="0"/>
    <n v="18000000"/>
    <x v="5"/>
  </r>
  <r>
    <x v="8"/>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TERMOMETROS DIGITALES INFRARROJO UNIDAD"/>
    <n v="15"/>
    <s v="UNIDAD"/>
    <n v="380000"/>
    <n v="0"/>
    <n v="5700000"/>
    <x v="21"/>
  </r>
  <r>
    <x v="8"/>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LAVAMANOS UNIDAD"/>
    <n v="17"/>
    <s v="UNIDAD"/>
    <n v="2168067.23"/>
    <n v="411932.77370000002"/>
    <n v="43860000.062900007"/>
    <x v="9"/>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TAPABOCAS"/>
    <n v="75000"/>
    <s v="UNIDAD"/>
    <n v="1320"/>
    <n v="0"/>
    <n v="99000000"/>
    <x v="3"/>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GUANTES"/>
    <n v="265"/>
    <s v="CAJA X 100"/>
    <n v="43000"/>
    <n v="0"/>
    <n v="11395000"/>
    <x v="10"/>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TOALLAS PARA MANOS X 150 UNIDADES"/>
    <n v="975"/>
    <s v="PAQUETE X 150"/>
    <n v="6300"/>
    <n v="0"/>
    <n v="6142500"/>
    <x v="8"/>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GEL GALON"/>
    <n v="2850"/>
    <s v="LITRO"/>
    <n v="54000"/>
    <n v="0"/>
    <n v="153900000"/>
    <x v="4"/>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GEL "/>
    <n v="30"/>
    <s v="LITRO"/>
    <n v="9900"/>
    <n v="0"/>
    <n v="297000"/>
    <x v="4"/>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JABÓN ANTIBACTERIAL CONCENTRACIÓN MINIMA DEL 6%"/>
    <n v="2400"/>
    <s v="LITRO"/>
    <n v="6000"/>
    <n v="0"/>
    <n v="14400000"/>
    <x v="5"/>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CARETAS"/>
    <n v="1000"/>
    <s v="UNIDAD"/>
    <n v="8300"/>
    <n v="0"/>
    <n v="8300000"/>
    <x v="11"/>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BIDON"/>
    <n v="50"/>
    <s v="UNIDAD"/>
    <n v="8000"/>
    <n v="0"/>
    <n v="400000"/>
    <x v="39"/>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PAPELERA ROTULADA"/>
    <n v="150"/>
    <s v="UNIDAD"/>
    <n v="22000"/>
    <n v="0"/>
    <n v="3300000"/>
    <x v="15"/>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BOLSA"/>
    <n v="200"/>
    <s v="PAQUETE X 100"/>
    <n v="17500"/>
    <n v="0"/>
    <n v="3500000"/>
    <x v="37"/>
  </r>
  <r>
    <x v="8"/>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DISPENSADORES"/>
    <n v="48"/>
    <s v="UNIDAD"/>
    <n v="43200"/>
    <n v="0"/>
    <n v="2073600"/>
    <x v="12"/>
  </r>
  <r>
    <x v="8"/>
    <s v="CON26-003 DE 2020"/>
    <s v="CONTRATAR EN NOMBRE DE LA NACIÓN — CONSEJO SUPERIOR DE LA JUDICATURA — DIRECCIÓN SECCIONAL DE ADMINISTRACIÓN JUDICIAL DE LLAGUÉ TOLIMA, LA PRESTACIÓN DEL SERVICIO DE VIGÍAS DE LA SALUD PARA LOS PALACIOS DE JUSTICIA DE ESTE DISTRITO JUDICIAL Y EN LAS SEDES ALTERNAS EN LA CIUDAD DE IBAGUÉ, PARA LA PREVENCIÓN DEL CONTAGIO Y PROPAGACIÓN DEL COVID-19"/>
    <d v="2020-06-23T00:00:00"/>
    <d v="2020-06-24T00:00:00"/>
    <n v="83500000"/>
    <n v="0"/>
    <s v="CRUZ ROJA COLOMBIANA - SECCIONAL TOLIMA"/>
    <n v="890701338"/>
    <s v="PERSONAL QUE CUMPLA FUNCIONES DE VIGIAS DE SALUD (3 MESES)"/>
    <n v="13"/>
    <s v="VALOR MENSUAL POR PERSONA"/>
    <n v="2141025.6153846155"/>
    <n v="0"/>
    <n v="83499999"/>
    <x v="6"/>
  </r>
  <r>
    <x v="9"/>
    <s v="CE-06-2020"/>
    <s v="SUMINISTRO TRAJES DE BIOSEGURIDAD PERSONAL."/>
    <d v="2020-03-20T00:00:00"/>
    <d v="2020-03-20T00:00:00"/>
    <n v="3689000"/>
    <n v="0"/>
    <s v="TECHNICAL SOLUTIONS SAFETY S.A.S."/>
    <n v="901095058"/>
    <s v="TRAJE DE PROTECCIÓN CORPORAL MARCA KIMBERLY, PROTECCIÓN CONTRA SALPICADURAS Y PARTICULAS, SON LOS TRAJES DE USO LIMITADO, IDEALES PARA PROTEGER A LAS PERSONAS CON UN EXCELENTE NIVEL DE RESPIRABILIDAD, DE LA NO PENETRACIÓN DE SALPICADURAS DE LÍQUIDOS NO PELIGROSOS (QUIMÍCOS ) Y PARTÍCULAS AL CUERPO DEL USUARIO. TALLAS DISPONIBLES L Y XL "/>
    <n v="200"/>
    <s v="UNIDAD"/>
    <n v="15500"/>
    <n v="2945"/>
    <n v="3689000"/>
    <x v="0"/>
  </r>
  <r>
    <x v="9"/>
    <s v="CE-07-2020"/>
    <s v="SUMINISTRO DE ELEMENTOS DE PROTECCIÓN (GUANTES Y TAPABOCAS)"/>
    <d v="2020-03-20T00:00:00"/>
    <d v="2020-03-20T00:00:00"/>
    <n v="9496200"/>
    <n v="0"/>
    <s v="CALDAS MEDICAS S.A.S."/>
    <n v="890806147"/>
    <s v="GUANTES DESECHABLES LATEX CAJA X 100 UND. MARCA EXAMTEX. TALLA M"/>
    <n v="80"/>
    <s v="CAJA X 100"/>
    <n v="15000"/>
    <n v="2850"/>
    <n v="1428000"/>
    <x v="18"/>
  </r>
  <r>
    <x v="9"/>
    <s v="CE-07-2020"/>
    <s v="SUMINISTRO DE ELEMENTOS DE PROTECCIÓN (GUANTES Y TAPABOCAS)"/>
    <d v="2020-03-20T00:00:00"/>
    <d v="2020-03-20T00:00:00"/>
    <n v="9496200"/>
    <n v="0"/>
    <s v="CALDAS MEDICAS S.A.S."/>
    <n v="890806147"/>
    <s v="GUANTES DESECHABLES LATEX CAJA X 100 UND. MARCA EXAMTEX. TALLA L"/>
    <n v="116"/>
    <s v="CAJA X 100"/>
    <n v="15000"/>
    <n v="2850"/>
    <n v="2070600"/>
    <x v="18"/>
  </r>
  <r>
    <x v="9"/>
    <s v="CE-07-2020"/>
    <s v="SUMINISTRO DE ELEMENTOS DE PROTECCIÓN (GUANTES Y TAPABOCAS)"/>
    <d v="2020-03-20T00:00:00"/>
    <d v="2020-03-20T00:00:00"/>
    <n v="9496200"/>
    <n v="0"/>
    <s v="CALDAS MEDICAS S.A.S."/>
    <n v="890806147"/>
    <s v="TAPABOCAS DESECHABLES MARCA CALMEDIC"/>
    <n v="7150"/>
    <s v="UNIDAD"/>
    <n v="600"/>
    <n v="114"/>
    <n v="5105100"/>
    <x v="3"/>
  </r>
  <r>
    <x v="9"/>
    <s v="CE-07-2020"/>
    <s v="SUMINISTRO DE ELEMENTOS DE PROTECCIÓN (GUANTES Y TAPABOCAS)"/>
    <d v="2020-03-20T00:00:00"/>
    <d v="2020-03-20T00:00:00"/>
    <n v="9496200"/>
    <n v="0"/>
    <s v="CALDAS MEDICAS S.A.S."/>
    <n v="890806147"/>
    <s v="TAPABOCAS N95 CON FILTRO DE CARBONO (BOLSA INDIVIDUAL). MARCA ZUBI OLA"/>
    <n v="30"/>
    <s v="UNIDAD"/>
    <n v="25000"/>
    <n v="4750"/>
    <n v="892500"/>
    <x v="3"/>
  </r>
  <r>
    <x v="9"/>
    <s v="CE-08-2020"/>
    <s v="SUMINISTRO TRAJES DE BIOSEGURIDAD PERSONAL CHEMMAX1 (REUTILIZABLE)"/>
    <d v="2020-04-02T00:00:00"/>
    <d v="2020-04-02T00:00:00"/>
    <n v="4307800"/>
    <n v="0"/>
    <s v="TECHNICAL SOLUTIONS SAFETY S.A.S."/>
    <n v="901095058"/>
    <s v="CHEMMAX 1 CONFECCIONADO EN BASE A UN SUSTRATO DE POLIPROPILENO LAMINADO CON UNA RESINA DE POLIETILENO DE ALTA DENSIDAD, ESTE POLÍMERO LAMINADO OFRECE EFECTIVA BARRERA CONTRA UNA GRAN GAMA DE SUSTANCIAS QUÍMICAS. CUMPLE CON LOS REQUERIMIENTOS ANT"/>
    <n v="100"/>
    <s v="UNIDAD"/>
    <n v="35000"/>
    <n v="6650"/>
    <n v="4165000"/>
    <x v="0"/>
  </r>
  <r>
    <x v="9"/>
    <s v="CE-10-2020"/>
    <s v="SUMINISTRO DE INSUMOS DE DESINFECCIÓN PARA LOS SERVIDORES JUDICIALES DEL DISTRITO JUDICIAL (GEL ANTIBACTERIAL Y ALCOHOL)"/>
    <d v="2020-04-08T00:00:00"/>
    <d v="2020-04-08T00:00:00"/>
    <n v="6125000"/>
    <n v="0"/>
    <s v="CAROLINA CEBALLOS ECHEVERRY - DULCE AROMA"/>
    <n v="1053782604"/>
    <s v="GEL ANTIBACTERIAL "/>
    <n v="175"/>
    <s v="LITRO"/>
    <n v="15000"/>
    <n v="0"/>
    <n v="2625000"/>
    <x v="4"/>
  </r>
  <r>
    <x v="9"/>
    <s v="CE-10-2020"/>
    <s v="SUMINISTRO DE INSUMOS DE DESINFECCIÓN PARA LOS SERVIDORES JUDICIALES DEL DISTRITO JUDICIAL (GEL ANTIBACTERIAL Y ALCOHOL)"/>
    <d v="2020-04-08T00:00:00"/>
    <d v="2020-04-08T00:00:00"/>
    <n v="6125000"/>
    <n v="0"/>
    <s v="CAROLINA CEBALLOS ECHEVERRY - DULCE AROMA"/>
    <n v="1053782604"/>
    <s v="ALCOHOL X 500 ML"/>
    <n v="225"/>
    <s v="LITRO"/>
    <n v="14000"/>
    <n v="0"/>
    <n v="3150000"/>
    <x v="20"/>
  </r>
  <r>
    <x v="9"/>
    <s v="CE-10-2020"/>
    <s v="SUMINISTRO DE INSUMOS DE DESINFECCIÓN PARA LOS SERVIDORES JUDICIALES DEL DISTRITO JUDICIAL (GEL ANTIBACTERIAL Y ALCOHOL)"/>
    <d v="2020-04-08T00:00:00"/>
    <d v="2020-04-08T00:00:00"/>
    <n v="6125000"/>
    <n v="0"/>
    <s v="CAROLINA CEBALLOS ECHEVERRY - DULCE AROMA"/>
    <n v="1053782604"/>
    <s v="ALCOHOL X 300 ML"/>
    <n v="26.1"/>
    <s v="LITRO"/>
    <n v="13409.961685823753"/>
    <n v="0"/>
    <n v="350000"/>
    <x v="20"/>
  </r>
  <r>
    <x v="9"/>
    <s v="CE-11-2020"/>
    <s v="SUMINISTRO DE TAPABOCAS LAVABLES PARA LOS SERVIDORES JUDICIALES DEL DISTRITO JUDICIAL."/>
    <d v="2020-04-08T00:00:00"/>
    <d v="2020-04-08T00:00:00"/>
    <n v="6799660"/>
    <n v="0"/>
    <s v="COLOR SIETE S.A.S"/>
    <n v="810001350"/>
    <s v="TAPABOCAS LAVABLE Y REUTILIZABLE EN TELA ANTIFLUIDO CON CUBIERTA REPELENTE."/>
    <n v="2000"/>
    <s v="UNIDAD"/>
    <n v="2857"/>
    <n v="542.83000000000004"/>
    <n v="6799660"/>
    <x v="3"/>
  </r>
  <r>
    <x v="9"/>
    <s v="CE-12-2020"/>
    <s v="SERVICIO DE DESINFECCIÓN DE ALGUNAS SEDES JUDICIALES DEL DISTRITO"/>
    <d v="2020-04-08T00:00:00"/>
    <d v="2020-04-08T00:00:00"/>
    <n v="15232000"/>
    <n v="0"/>
    <s v="MARÍA RUTH DÍAZ DUQUE  - ALSERVICIO RT"/>
    <n v="24319928"/>
    <s v="DESINFECCIÓN SEDE JUDICIAL DE VILLAMARIA (231 M2)"/>
    <n v="2"/>
    <s v="SEDE"/>
    <n v="500000"/>
    <n v="95000"/>
    <n v="1190000"/>
    <x v="38"/>
  </r>
  <r>
    <x v="9"/>
    <s v="CE-12-2020"/>
    <s v="SERVICIO DE DESINFECCIÓN DE ALGUNAS SEDES JUDICIALES DEL DISTRITO"/>
    <d v="2020-04-08T00:00:00"/>
    <d v="2020-04-08T00:00:00"/>
    <n v="15232000"/>
    <n v="0"/>
    <s v="MARÍA RUTH DÍAZ DUQUE  - ALSERVICIO RT"/>
    <n v="24319928"/>
    <s v="DESINFECCIÓN SEDE JUDICIAL DE CHINCHINA: 2 PISOS (1200 M2)"/>
    <n v="2"/>
    <s v="SEDE"/>
    <n v="600000"/>
    <n v="114000"/>
    <n v="1428000"/>
    <x v="38"/>
  </r>
  <r>
    <x v="9"/>
    <s v="CE-12-2020"/>
    <s v="SERVICIO DE DESINFECCIÓN DE ALGUNAS SEDES JUDICIALES DEL DISTRITO"/>
    <d v="2020-04-08T00:00:00"/>
    <d v="2020-04-08T00:00:00"/>
    <n v="15232000"/>
    <n v="0"/>
    <s v="MARÍA RUTH DÍAZ DUQUE  - ALSERVICIO RT"/>
    <n v="24319928"/>
    <s v="DESINFECCIÓN SEDE JUDICIAL DE ANSERMA: 3 PISOS (580 M2)"/>
    <n v="2"/>
    <s v="SEDE"/>
    <n v="550000"/>
    <n v="104500"/>
    <n v="1309000"/>
    <x v="38"/>
  </r>
  <r>
    <x v="9"/>
    <s v="CE-12-2020"/>
    <s v="SERVICIO DE DESINFECCIÓN DE ALGUNAS SEDES JUDICIALES DEL DISTRITO"/>
    <d v="2020-04-08T00:00:00"/>
    <d v="2020-04-08T00:00:00"/>
    <n v="15232000"/>
    <n v="0"/>
    <s v="MARÍA RUTH DÍAZ DUQUE  - ALSERVICIO RT"/>
    <n v="24319928"/>
    <s v="DESINFECCIÓN SEDE JUDICIAL DE RIOSUCIO: 2 PISOS (1956 M2)"/>
    <n v="2"/>
    <s v="SEDE"/>
    <n v="650000"/>
    <n v="123500"/>
    <n v="1547000"/>
    <x v="38"/>
  </r>
  <r>
    <x v="9"/>
    <s v="CE-12-2020"/>
    <s v="SERVICIO DE DESINFECCIÓN DE ALGUNAS SEDES JUDICIALES DEL DISTRITO"/>
    <d v="2020-04-08T00:00:00"/>
    <d v="2020-04-08T00:00:00"/>
    <n v="15232000"/>
    <n v="0"/>
    <s v="MARÍA RUTH DÍAZ DUQUE  - ALSERVICIO RT"/>
    <n v="24319928"/>
    <s v="DESINFECCIÓN SEDE JUDICIAL DE SALAMINA: 2 PISOS (1450 M2)"/>
    <n v="2"/>
    <s v="SEDE"/>
    <n v="600000"/>
    <n v="114000"/>
    <n v="1428000"/>
    <x v="38"/>
  </r>
  <r>
    <x v="9"/>
    <s v="CE-12-2020"/>
    <s v="SERVICIO DE DESINFECCIÓN DE ALGUNAS SEDES JUDICIALES DEL DISTRITO"/>
    <d v="2020-04-08T00:00:00"/>
    <d v="2020-04-08T00:00:00"/>
    <n v="15232000"/>
    <n v="0"/>
    <s v="MARÍA RUTH DÍAZ DUQUE  - ALSERVICIO RT"/>
    <n v="24319928"/>
    <s v="DESINFECCIÓN SEDE JUDICIAL DE AGUADAS: 2 PISOS (481 M2)"/>
    <n v="2"/>
    <s v="SEDE"/>
    <n v="550000"/>
    <n v="104500"/>
    <n v="1309000"/>
    <x v="38"/>
  </r>
  <r>
    <x v="9"/>
    <s v="CE-12-2020"/>
    <s v="SERVICIO DE DESINFECCIÓN DE ALGUNAS SEDES JUDICIALES DEL DISTRITO"/>
    <d v="2020-04-08T00:00:00"/>
    <d v="2020-04-08T00:00:00"/>
    <n v="15232000"/>
    <n v="0"/>
    <s v="MARÍA RUTH DÍAZ DUQUE  - ALSERVICIO RT"/>
    <n v="24319928"/>
    <s v="DESINFECCIÓN SEDE JUDICIAL DE MANZANARES: 2 PISOS (403 M2)"/>
    <n v="2"/>
    <s v="SEDE"/>
    <n v="500000"/>
    <n v="95000"/>
    <n v="1190000"/>
    <x v="38"/>
  </r>
  <r>
    <x v="9"/>
    <s v="CE-12-2020"/>
    <s v="SERVICIO DE DESINFECCIÓN DE ALGUNAS SEDES JUDICIALES DEL DISTRITO"/>
    <d v="2020-04-08T00:00:00"/>
    <d v="2020-04-08T00:00:00"/>
    <n v="15232000"/>
    <n v="0"/>
    <s v="MARÍA RUTH DÍAZ DUQUE  - ALSERVICIO RT"/>
    <n v="24319928"/>
    <s v="DESINFECCIÓN SEDE JUDICIAL DE PENSILVANIA: 1 PISO (356 M2)"/>
    <n v="2"/>
    <s v="SEDE"/>
    <n v="500000"/>
    <n v="95000"/>
    <n v="1190000"/>
    <x v="38"/>
  </r>
  <r>
    <x v="9"/>
    <s v="CE-12-2020"/>
    <s v="SERVICIO DE DESINFECCIÓN DE ALGUNAS SEDES JUDICIALES DEL DISTRITO"/>
    <d v="2020-04-08T00:00:00"/>
    <d v="2020-04-08T00:00:00"/>
    <n v="15232000"/>
    <n v="0"/>
    <s v="MARÍA RUTH DÍAZ DUQUE  - ALSERVICIO RT"/>
    <n v="24319928"/>
    <s v="DESINFECCIÓN SEDE JUDICIAL DE LA DORADA: 3 PISOS (3100 M2)"/>
    <n v="2"/>
    <s v="SEDE"/>
    <n v="800000"/>
    <n v="152000"/>
    <n v="1904000"/>
    <x v="38"/>
  </r>
  <r>
    <x v="9"/>
    <s v="CE-12-2020"/>
    <s v="SERVICIO DE DESINFECCIÓN DE ALGUNAS SEDES JUDICIALES DEL DISTRITO"/>
    <d v="2020-04-08T00:00:00"/>
    <d v="2020-04-08T00:00:00"/>
    <n v="15232000"/>
    <n v="0"/>
    <s v="MARÍA RUTH DÍAZ DUQUE  - ALSERVICIO RT"/>
    <n v="24319928"/>
    <s v="DESINFECCIÓN SEDE JUDICIAL DE PUERTO BOYACÁ: 3 PISOS (1641 M2)"/>
    <n v="2"/>
    <s v="SEDE"/>
    <n v="650000"/>
    <n v="123500"/>
    <n v="1547000"/>
    <x v="38"/>
  </r>
  <r>
    <x v="9"/>
    <s v="CE-12-2020"/>
    <s v="SERVICIO DE DESINFECCIÓN DE ALGUNAS SEDES JUDICIALES DEL DISTRITO"/>
    <d v="2020-04-08T00:00:00"/>
    <d v="2020-04-08T00:00:00"/>
    <n v="15232000"/>
    <n v="0"/>
    <s v="MARÍA RUTH DÍAZ DUQUE  - ALSERVICIO RT"/>
    <n v="24319928"/>
    <s v="DESINFECCIÓN SEDE JUDICIAL DE VITERBO (279 M2)"/>
    <n v="2"/>
    <s v="SEDE"/>
    <n v="500000"/>
    <n v="95000"/>
    <n v="1190000"/>
    <x v="38"/>
  </r>
  <r>
    <x v="9"/>
    <s v="CE-12-2020"/>
    <s v="SERVICIO DE DESINFECCIÓN DE ALGUNAS SEDES JUDICIALES DEL DISTRITO"/>
    <d v="2020-04-08T00:00:00"/>
    <d v="2020-04-08T00:00:00"/>
    <n v="15232000"/>
    <n v="7616000"/>
    <s v="MARÍA RUTH DÍAZ DUQUE  - ALSERVICIO RT"/>
    <n v="24319928"/>
    <s v="DESINFECCIÓN SEDE JUDICIAL PALACIO DE JUSTICIA"/>
    <n v="2"/>
    <s v="SEDE"/>
    <n v="650000"/>
    <n v="123500"/>
    <n v="1547000"/>
    <x v="38"/>
  </r>
  <r>
    <x v="9"/>
    <s v="CE-12-2020"/>
    <s v="SERVICIO DE DESINFECCIÓN DE ALGUNAS SEDES JUDICIALES DEL DISTRITO"/>
    <d v="2020-04-08T00:00:00"/>
    <d v="2020-04-08T00:00:00"/>
    <n v="15232000"/>
    <n v="7616000"/>
    <s v="MARÍA RUTH DÍAZ DUQUE  - ALSERVICIO RT"/>
    <n v="24319928"/>
    <s v="DESINFECCIÓN EDIFICIO DIRECCION SECCIONAL Y JUZGADOS PENALES"/>
    <n v="2"/>
    <s v="SEDE"/>
    <n v="650000"/>
    <n v="123500"/>
    <n v="1547000"/>
    <x v="38"/>
  </r>
  <r>
    <x v="9"/>
    <s v="CE-12-2020"/>
    <s v="SERVICIO DE DESINFECCIÓN DE ALGUNAS SEDES JUDICIALES DEL DISTRITO"/>
    <d v="2020-04-08T00:00:00"/>
    <d v="2020-04-08T00:00:00"/>
    <n v="15232000"/>
    <n v="7616000"/>
    <s v="MARÍA RUTH DÍAZ DUQUE  - ALSERVICIO RT"/>
    <n v="24319928"/>
    <s v="DESINFECCIÓN SEDE JUDICIAL VILLAMARIA"/>
    <n v="2"/>
    <s v="SEDE"/>
    <n v="500000"/>
    <n v="95000"/>
    <n v="1190000"/>
    <x v="38"/>
  </r>
  <r>
    <x v="9"/>
    <s v="CE-12-2020"/>
    <s v="SERVICIO DE DESINFECCIÓN DE ALGUNAS SEDES JUDICIALES DEL DISTRITO"/>
    <d v="2020-04-08T00:00:00"/>
    <d v="2020-04-08T00:00:00"/>
    <n v="15232000"/>
    <n v="7616000"/>
    <s v="MARÍA RUTH DÍAZ DUQUE  - ALSERVICIO RT"/>
    <n v="24319928"/>
    <s v="DESINFECCIÓN SEDE JUDICIAL CHINCHINA"/>
    <n v="2"/>
    <s v="SEDE"/>
    <n v="600000"/>
    <n v="114000"/>
    <n v="1428000"/>
    <x v="38"/>
  </r>
  <r>
    <x v="9"/>
    <s v="CE-12-2020"/>
    <s v="SERVICIO DE DESINFECCIÓN DE ALGUNAS SEDES JUDICIALES DEL DISTRITO"/>
    <d v="2020-04-08T00:00:00"/>
    <d v="2020-04-08T00:00:00"/>
    <n v="15232000"/>
    <n v="7616000"/>
    <s v="MARÍA RUTH DÍAZ DUQUE  - ALSERVICIO RT"/>
    <n v="24319928"/>
    <s v="DESINFECCIÓN SEDE JUDICIAL LA DORADA"/>
    <n v="2"/>
    <s v="SEDE"/>
    <n v="800000"/>
    <n v="152000"/>
    <n v="1904000"/>
    <x v="38"/>
  </r>
  <r>
    <x v="9"/>
    <s v="Orden de Compra 48963"/>
    <s v="GUANTES DE NITRILO 30 CAJAS X 100"/>
    <d v="2020-05-21T00:00:00"/>
    <d v="2020-05-21T00:00:00"/>
    <n v="1760000"/>
    <n v="0"/>
    <s v="FELIPE MONDRAGON DUQUE "/>
    <n v="94409574"/>
    <s v="GUANTES DE NITRILO 30 CAJAS X 100"/>
    <n v="30"/>
    <s v="CAJA X 100"/>
    <n v="54000"/>
    <n v="0"/>
    <n v="1620000"/>
    <x v="40"/>
  </r>
  <r>
    <x v="9"/>
    <s v="CE-016-2020"/>
    <s v="LAVAMANOS PORTÁTILES EN ACERO INOXIDABLE: 13 UNIDADES"/>
    <d v="2020-05-27T00:00:00"/>
    <d v="2020-05-27T00:00:00"/>
    <n v="17372810"/>
    <n v="0"/>
    <s v="PROYECTOS INSTITUCIONALES DE COLOMBIA S.A.S"/>
    <n v="900990752"/>
    <s v="LAVAMANOS PORTÁTILES EN ACERO INOXIDABLE: 13 UNIDADES"/>
    <n v="13"/>
    <s v="UNIDAD"/>
    <n v="1123000"/>
    <n v="213370"/>
    <n v="17372810"/>
    <x v="9"/>
  </r>
  <r>
    <x v="9"/>
    <s v="Orden de Compra 49475"/>
    <s v="BOTELLAS DE ALCOHOL X 750 CC"/>
    <d v="2020-06-01T00:00:00"/>
    <d v="2020-06-01T00:00:00"/>
    <n v="2900000"/>
    <n v="0"/>
    <s v="SUMIMAS S.A.S"/>
    <n v="830001338"/>
    <s v="BOTELLAS DE ALCOHOL X 750 CC"/>
    <n v="300"/>
    <s v="LITRO"/>
    <n v="8666.6666666666661"/>
    <n v="0"/>
    <n v="2600000"/>
    <x v="20"/>
  </r>
  <r>
    <x v="9"/>
    <s v="Orden de Compra 49476"/>
    <s v="GEL ANTIBACTERIAL POR LITRO: 500 UNIDADES"/>
    <d v="2020-06-01T00:00:00"/>
    <d v="2020-06-01T00:00:00"/>
    <n v="7650000"/>
    <n v="0"/>
    <s v="FELIPE MONDRAGON DUQUE "/>
    <n v="94409574"/>
    <s v="GEL ANTIBACTERIAL POR LITRO: 500 UNIDADES"/>
    <n v="500"/>
    <s v="LITRO"/>
    <n v="12700"/>
    <n v="0"/>
    <n v="6350000"/>
    <x v="4"/>
  </r>
  <r>
    <x v="9"/>
    <s v="Orden de Compra 49600"/>
    <s v="TOALLAS DESECHABLES PARA MANOS ROLLOS DE 100 METROS: 1000 ROLLOS."/>
    <d v="2020-06-01T00:00:00"/>
    <d v="2020-06-01T00:00:00"/>
    <n v="12695000"/>
    <n v="0"/>
    <s v="JM GRUPO EMPRESARIAL S.A.S "/>
    <n v="900353659"/>
    <s v="TOALLAS DESECHABLES PARA MANOS ROLLOS DE 100 METROS: 1000 ROLLOS."/>
    <n v="1000"/>
    <s v="ROLLO X 100 MTS"/>
    <n v="10500"/>
    <n v="1995"/>
    <n v="12495000"/>
    <x v="8"/>
  </r>
  <r>
    <x v="9"/>
    <s v="CE-034-2019"/>
    <s v="PRESTACIÓN DEL SERVICIO DE ASEO Y LIMPIEZA AL DISTRITO JUDICIAL"/>
    <d v="2020-06-01T00:00:00"/>
    <d v="2020-06-01T00:00:00"/>
    <n v="0"/>
    <n v="18340586"/>
    <s v="BIOSERVICIOS S.A.S."/>
    <n v="810001366"/>
    <s v="PRESTACIÓN DEL SERVICIO DE ASEO Y LIMPIEZA AL DISTRITO JUDICIAL TIEMPO COMPLETO POR 5 MESES"/>
    <n v="2"/>
    <s v="VALOR MENSUAL POR PERSONA"/>
    <n v="1834059"/>
    <n v="0"/>
    <n v="18340590"/>
    <x v="16"/>
  </r>
  <r>
    <x v="9"/>
    <s v="CE-034-2019"/>
    <s v="PRESTACIÓN DEL SERVICIO DE ASEO Y LIMPIEZA AL DISTRITO JUDICIAL"/>
    <d v="2020-06-01T00:00:00"/>
    <d v="2020-06-01T00:00:00"/>
    <n v="0"/>
    <n v="9480267"/>
    <s v="BIOSERVICIOS S.A.S."/>
    <n v="810001366"/>
    <s v="PRESTACIÓN DEL SERVICIO DE ASEO Y LIMPIEZA AL DISTRITO JUDICIAL MEDIO TIEMPO POR 4.5 MESES"/>
    <n v="1"/>
    <s v="VALOR MENSUAL POR PERSONA"/>
    <n v="2106726"/>
    <n v="0"/>
    <n v="9480267"/>
    <x v="16"/>
  </r>
  <r>
    <x v="9"/>
    <s v="CE-034-2019"/>
    <s v="PRESTACIÓN DEL SERVICIO DE ASEO Y LIMPIEZA AL DISTRITO JUDICIAL"/>
    <d v="2020-06-01T00:00:00"/>
    <d v="2020-06-01T00:00:00"/>
    <n v="0"/>
    <n v="43843974"/>
    <s v="BIOSERVICIOS S.A.S."/>
    <n v="810001366"/>
    <s v="PRESTACIÓN DEL SERVICIO DE ASEO Y LIMPIEZA AL DISTRITO JUDICIAL 8 HORAS POR SEMANA POR 4 MESES"/>
    <n v="20"/>
    <s v="VALOR MENSUAL POR PERSONA"/>
    <n v="548050"/>
    <n v="0"/>
    <n v="43844000"/>
    <x v="16"/>
  </r>
  <r>
    <x v="9"/>
    <s v="Orden de Compra 49987"/>
    <s v="PAPEL VINIPEL 250 ROLLOS"/>
    <d v="2020-06-05T00:00:00"/>
    <d v="2020-06-05T00:00:00"/>
    <n v="4002050"/>
    <n v="0"/>
    <s v="GRUPO EMPRESARIAL DE ASESORIA"/>
    <n v="9009069703"/>
    <s v="PAPEL VINIPEL 250 ROLLOS"/>
    <n v="225"/>
    <s v="ROLLO"/>
    <n v="14200"/>
    <n v="2698"/>
    <n v="3802050"/>
    <x v="7"/>
  </r>
  <r>
    <x v="9"/>
    <s v="Orden de Compra 49988"/>
    <s v="JABÓN DISPENSADOR PARA MANOS LÍQUIDO. 200 GALONES X 3.785 CC"/>
    <d v="2020-06-05T00:00:00"/>
    <d v="2020-06-05T00:00:00"/>
    <n v="4010600"/>
    <n v="0"/>
    <s v="AESTHETIC MEDICAL SOLUTIONS"/>
    <n v="900567130"/>
    <s v="JABÓN DISPENSADOR PARA MANOS LÍQUIDO. 200 GALONES X 3.785 CC"/>
    <n v="757"/>
    <s v="LITRO"/>
    <n v="4333.6856010568035"/>
    <n v="0"/>
    <n v="3280600.0000000005"/>
    <x v="5"/>
  </r>
  <r>
    <x v="9"/>
    <s v="Orden de Compra 49993"/>
    <s v="JABÓN DISPENSADOR PARA MANOS LÍQUIDO. 300 UNIDADES X 500 CC"/>
    <d v="2020-06-05T00:00:00"/>
    <d v="2020-06-05T00:00:00"/>
    <n v="4040000"/>
    <n v="0"/>
    <s v="OFIBEST S.A.S."/>
    <n v="900350133"/>
    <s v="JABÓN DISPENSADOR PARA MANOS LÍQUIDO. 300 UNIDADES X 500 CC"/>
    <n v="300"/>
    <s v="LITRO"/>
    <n v="12400"/>
    <n v="0"/>
    <n v="3720000"/>
    <x v="5"/>
  </r>
  <r>
    <x v="9"/>
    <s v="Orden de Compra 49994"/>
    <s v="TOALLAS PARA MANOS INTERDOBLADAS- 500 PAQUETES"/>
    <d v="2020-06-05T00:00:00"/>
    <d v="2020-06-05T00:00:00"/>
    <n v="3490500"/>
    <n v="0"/>
    <s v="PAPER BOX SP S.A.S."/>
    <n v="900791672"/>
    <s v="TOALLAS PARA MANOS INTERDOBLADAS- 500 PAQUETES"/>
    <n v="500"/>
    <s v="PAQUETE X 150"/>
    <n v="4900"/>
    <n v="931"/>
    <n v="2915500"/>
    <x v="8"/>
  </r>
  <r>
    <x v="9"/>
    <s v="Orden de Compra 49995"/>
    <s v="CARETAS PROTECTORAS VISUALES. 600 UNIDADES."/>
    <d v="2020-06-05T00:00:00"/>
    <d v="2020-06-05T00:00:00"/>
    <n v="8100000"/>
    <n v="2600000"/>
    <s v="ABBLAPLX S.A.S."/>
    <n v="860062147"/>
    <s v="CARETAS PROTECTORAS VISUALES. 600 UNIDADES."/>
    <n v="800"/>
    <s v="UNIDAD"/>
    <n v="13000"/>
    <n v="0"/>
    <n v="10400000"/>
    <x v="11"/>
  </r>
  <r>
    <x v="9"/>
    <s v="CE-18-2020"/>
    <s v="PRESTACIÓN DE SERVICIOS DE PERSONAL DE APOYO A LA GESTIÓN CON VIGÍAS DE SALUD"/>
    <d v="2020-06-17T00:00:00"/>
    <d v="2020-06-23T00:00:00"/>
    <n v="66538000"/>
    <n v="0"/>
    <s v="CRUZ ROJA COLOMBIANA SECCIONAL CALDA"/>
    <n v="890801201"/>
    <s v="PRESTACIÓN DE SERVICIOS DE PERSONAL DE APOYO A LA GESTIÓN CON VIGÍAS DE SALUD (POR 3 MESES)"/>
    <n v="10"/>
    <s v="VALOR MENSUAL POR PERSONA"/>
    <n v="2217933"/>
    <n v="0"/>
    <n v="66537990"/>
    <x v="6"/>
  </r>
  <r>
    <x v="9"/>
    <s v="Orden de Compra 50861"/>
    <s v="ARRENDAMIENTO DE 33 COMPUTADORES PORTÁTILES CON CÁMARA INCORPORADA Y PARLANTES PARA FACILITAR LA REALIZACIÓN DE AUDIENCIAS VIRTUALES CON CONEXIÓN REMOTA."/>
    <d v="2020-06-23T00:00:00"/>
    <d v="2020-06-23T00:00:00"/>
    <n v="16964640"/>
    <n v="0"/>
    <s v="NUEVA ERA SOLUCIONES S.A.S."/>
    <n v="830037278"/>
    <s v="ARRENDAMIENTO DE 33 COMPUTADORES PORTÁTILES CON CÁMARA INCORPORADA Y PARLANTES PARA FACILITAR LA REALIZACIÓN DE AUDIENCIAS VIRTUALES CON CONEXIÓN REMOTA. POR 4 MESES"/>
    <n v="33"/>
    <s v="VALOR MENSUAL POR EQUIPO"/>
    <n v="108000"/>
    <n v="20520"/>
    <n v="16964640"/>
    <x v="28"/>
  </r>
  <r>
    <x v="9"/>
    <s v="Orden de Compra 51280"/>
    <s v="ADQUISICIÓN DE SENSORES DE TEMPERATURA PARA ALGUNAS SEDES JUDICIALES DEL DISTRITO, COMO MEDIDAS DE PREVENCIÓN DEL COVID 19."/>
    <d v="2020-06-30T00:00:00"/>
    <d v="2020-06-30T00:00:00"/>
    <n v="780000"/>
    <n v="0"/>
    <s v="COMERCIALIZADORA ORIKUA SAS"/>
    <n v="900724561"/>
    <s v="ADQUISICIÓN DE SENSORES DE TEMPERATURA PARA ALGUNAS SEDES JUDICIALES DEL DISTRITO, COMO MEDIDAS DE PREVENCIÓN DEL COVID 19."/>
    <n v="6"/>
    <s v="UNIDAD"/>
    <n v="130000"/>
    <n v="0"/>
    <n v="780000"/>
    <x v="21"/>
  </r>
  <r>
    <x v="9"/>
    <s v="CE-20-2020"/>
    <s v="ADQUISICIÓN DE DISPENSADORES DE GEL EN ACERO INXIDABLE, PORTÁTILES Y ACCIONABLES CON EL PIE."/>
    <d v="2020-07-06T00:00:00"/>
    <d v="2020-07-08T00:00:00"/>
    <n v="6257500"/>
    <n v="0"/>
    <s v="YESID FERNANDO SUAREZ AVILA/ALLINGENIERIA"/>
    <n v="80748897"/>
    <s v="DISPENSADORES DE GEL EN ACERO INOXIDABLE, PORTÁTILES Y ACCIONABLES CON EL PIE"/>
    <n v="42"/>
    <s v="UNIDAD"/>
    <n v="125000"/>
    <n v="23750"/>
    <n v="6247500"/>
    <x v="12"/>
  </r>
  <r>
    <x v="9"/>
    <s v="CE-22-2020"/>
    <s v="SUMINISTRO DE TAPABOCAS DESECHABLES, COMO PREVENCIÓN DEL CONTAGIO CON EL COVID19"/>
    <d v="2020-07-08T00:00:00"/>
    <d v="2020-07-09T00:00:00"/>
    <n v="4425000"/>
    <n v="1500000"/>
    <s v="AR GLOBAL SERVICE "/>
    <n v="900829708"/>
    <s v="TAPABOCAS DESECHABLES"/>
    <n v="2059"/>
    <s v="UNIDAD"/>
    <n v="750"/>
    <n v="0"/>
    <n v="1544250"/>
    <x v="3"/>
  </r>
  <r>
    <x v="9"/>
    <s v="Orden de Compra 52569"/>
    <s v="SUMINISTRO DE DISPENSADORES DE TOALLAS DE PAPEL "/>
    <d v="2020-07-24T00:00:00"/>
    <d v="2020-07-24T00:00:00"/>
    <n v="8400000"/>
    <n v="0"/>
    <s v="PAULO CESAR CARVAJAL &amp; PRODUCTOS_x000a_INSTITUCIONALES"/>
    <n v="10003534"/>
    <s v="DISPENSADORES DE TOALLAS DE PAPEL "/>
    <n v="100"/>
    <s v="UNIDAD"/>
    <n v="72000"/>
    <n v="0"/>
    <n v="7200000"/>
    <x v="12"/>
  </r>
  <r>
    <x v="9"/>
    <s v="Orden de Compra 53183"/>
    <s v="CANECAS PARA DEPOSITAR RESIDUOS PELIGROSOS, COMO MEDIDAS DE PREVENCIÓN CONTRA EL COVID 19"/>
    <d v="2020-08-03T00:00:00"/>
    <d v="2020-08-03T00:00:00"/>
    <n v="2310208"/>
    <n v="0"/>
    <s v="PANAMERICANA LIBRERÍA Y PAPELERÍA S.A."/>
    <n v="830037946"/>
    <s v="CANECAS PARA DEPOSITAR RESIDUOS PELIGROSOS, COMO MEDIDAS DE PREVENCIÓN CONTRA EL COVID 19"/>
    <n v="32"/>
    <s v="UNIDAD"/>
    <n v="72194"/>
    <n v="0"/>
    <n v="2310208"/>
    <x v="15"/>
  </r>
  <r>
    <x v="10"/>
    <s v="2020-006"/>
    <s v="SUMINISTRO DE GEL ANTIBACTERIAL Y SOPORTE DE PARED_x000a_PARA PREVENIR EL CONTAGIO POR COVID-19 DE LOS_x000a_SERVIDORES DE LAS DIFERENTES SEDES Y DESPACHOS_x000a_JUDICIALES DE LA DIRECCIÓN EJECUTIVA SECCIONAL DE_x000a_ADMINISTRACIÓN JUDICIAL DE MEDELLÍN Y CHOCÓ"/>
    <d v="2020-05-08T00:00:00"/>
    <d v="2020-05-12T00:00:00"/>
    <n v="0"/>
    <n v="20220000"/>
    <s v="SERVISEPTICOS S.A.S."/>
    <n v="900429897"/>
    <s v="GEL ANTIBACTERIAL CON TAPA DIOSPENSADORA X LITRO"/>
    <n v="1200"/>
    <s v="LITRO"/>
    <n v="16850"/>
    <n v="0"/>
    <n v="20220000"/>
    <x v="4"/>
  </r>
  <r>
    <x v="10"/>
    <s v="2020-008"/>
    <s v="SUMINISTRO DE TOALLA DESECHABLE PARA MANOS PARA PREVENIR EL CONTAGIO POR COVID-19 DE LOS SERVIDORES DE LAS DIFERENTES SEDES Y DESPACHOS JUDICIALES DE LA DIRECCIÓN EJECUTIVA SECCIONAL DE ADMINISTRACIÓN JUDICIAL DE MEDELLÍN Y CHOCÓ"/>
    <d v="2020-05-20T00:00:00"/>
    <d v="2020-05-21T00:00:00"/>
    <n v="202984642"/>
    <n v="0"/>
    <s v="PAPELERÍA EL PUNTO S.A.S."/>
    <n v="800004711"/>
    <s v="TOALLA DE MANOS NATURAL 100MTS X20 CMS PACA X 6 ROLLOS"/>
    <n v="11148"/>
    <s v="ROLLO X 100 MTS"/>
    <n v="15301"/>
    <n v="2907.19"/>
    <n v="202984902.11999997"/>
    <x v="8"/>
  </r>
  <r>
    <x v="10"/>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0"/>
    <n v="11965845"/>
    <s v="COMPEL S.A"/>
    <n v="800147520"/>
    <s v="TERMÓMETRO INFRAROJO UT30R_x000a_"/>
    <n v="38"/>
    <s v="UNIDAD"/>
    <n v="300000"/>
    <n v="0"/>
    <n v="11400000"/>
    <x v="21"/>
  </r>
  <r>
    <x v="10"/>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0"/>
    <n v="11965845"/>
    <s v="COMPEL S.A"/>
    <n v="800147520"/>
    <s v="_x000a_PILA ALKALINA AAA GP"/>
    <n v="317"/>
    <s v="UNIDAD"/>
    <n v="1500"/>
    <n v="285"/>
    <n v="565845"/>
    <x v="34"/>
  </r>
  <r>
    <x v="10"/>
    <s v="2020-011"/>
    <s v="SUMINISTRO DE CARETAS EN POLIPROPILENO O MÁSCARA DE PROTECCIÓN FACIAL, COMO ELEMENTO DE PROTECCIÓN PERSONAL EN EL MARCO DE LA PREVENCIÓN DEL CONTAGIO POR COVID-19, PARA LOS SERVIDORES DE LAS DIFERENTES SEDES Y DESPACHOS JUDICIALES DE LA DIRECCIÓN EJECUTIVA SECCIONAL DE ADMINISTRACIÓN JUDICIAL DE ANTIOQUIA Y CHOCÓ"/>
    <d v="2020-06-12T00:00:00"/>
    <d v="2020-06-16T00:00:00"/>
    <n v="36000000"/>
    <n v="0"/>
    <s v="LÍNEAS MÉDICAS ESPECIALIZADAS DE COLOMBIA S.A.S."/>
    <n v="900673010"/>
    <s v="MÁSCARA (CARETA) DE PROTECCIÓN FACIAL EN POLIETILENO, ANTIEMPAÑANTE, ANTIFLUIDOS; MEDIDAS 25X29 CMS Y GROSOR DE 0.25 MM"/>
    <n v="4000"/>
    <s v="UNIDAD"/>
    <n v="9000"/>
    <n v="0"/>
    <n v="36000000"/>
    <x v="11"/>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LAVADO DE MANOS._x000a_"/>
    <n v="330"/>
    <s v="UNIDAD"/>
    <n v="7022"/>
    <n v="1334.18"/>
    <n v="2757539.4"/>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_x000a_ADHESIVO RESTRICCION INGRESO._x000a_"/>
    <n v="330"/>
    <s v="UNIDAD"/>
    <n v="3634"/>
    <n v="690.46"/>
    <n v="1427071.8"/>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_x000a_ADHESIVO USO TAPABOCAS._x000a_"/>
    <n v="320"/>
    <s v="UNIDAD"/>
    <n v="3634"/>
    <n v="690.46"/>
    <n v="1383827.2"/>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DISTANCIA SOCIAL._x000a_"/>
    <n v="320"/>
    <s v="UNIDAD"/>
    <n v="3634"/>
    <n v="690.46"/>
    <n v="1383827.2"/>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HIGIENE RESPIRATORIA._x000a_"/>
    <n v="320"/>
    <s v="UNIDAD"/>
    <n v="3634"/>
    <n v="690.46"/>
    <n v="1383827.2"/>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LIMPIEZA-DESINFECC._x000a_"/>
    <n v="320"/>
    <s v="UNIDAD"/>
    <n v="3634"/>
    <n v="690.46"/>
    <n v="1383827.2"/>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REPORTE CONDIC.SALUD._x000a_"/>
    <n v="320"/>
    <s v="UNIDAD"/>
    <n v="3634"/>
    <n v="690.46"/>
    <n v="1383827.2"/>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USO MEDIOS BICICLETA._x000a_"/>
    <n v="320"/>
    <s v="UNIDAD"/>
    <n v="3634"/>
    <n v="690.46"/>
    <n v="1383827.2"/>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FOMENTO HABITOS SALUD._x000a_"/>
    <n v="320"/>
    <s v="UNIDAD"/>
    <n v="3634"/>
    <n v="690.46"/>
    <n v="1383827.2"/>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S PISO RECTÁNGULOS. _x000a_"/>
    <n v="1500"/>
    <s v="UNIDAD"/>
    <n v="4125"/>
    <n v="783.75"/>
    <n v="7363125"/>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S PISO ASCENSORES._x000a_"/>
    <n v="48"/>
    <s v="UNIDAD"/>
    <n v="4950"/>
    <n v="940.5"/>
    <n v="282744"/>
    <x v="30"/>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INSTALACION GIRARDOTA-COPACAB Y OTROS_x000a_"/>
    <n v="3"/>
    <s v="SEDE"/>
    <n v="245000"/>
    <n v="46550"/>
    <n v="874650"/>
    <x v="41"/>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INSTALACIÓN CALDAS-MEDELLÍN Y OTROS_x000a_"/>
    <n v="7"/>
    <s v="SEDE"/>
    <n v="220000"/>
    <n v="41800"/>
    <n v="1832600"/>
    <x v="41"/>
  </r>
  <r>
    <x v="10"/>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INSTALACIÓN RIONEGRO."/>
    <n v="1"/>
    <s v="SEDE"/>
    <n v="332000"/>
    <n v="63080"/>
    <n v="395080"/>
    <x v="41"/>
  </r>
  <r>
    <x v="10"/>
    <s v="2020-001"/>
    <s v="SUMINISTRO DE ELEMENTOS DE PROTECCIÓN PERSONAL PARA PREVENIR EL CONTAGIO POR COVID-19 DE LOS SERVIDORES DE LAS DIFERENTES SEDES Y DESPACHOS JUDICIALES DE LA DIRECCIÓN EJECUTIVA SECCIONAL DE ADMINISTRACIÓN JUDICIAL DE MEDELLÍN Y CHOCÓ"/>
    <d v="2020-03-30T00:00:00"/>
    <d v="2020-03-30T00:00:00"/>
    <n v="26983488"/>
    <n v="0"/>
    <s v="PRODEFARMA S.A.S."/>
    <n v="900727931"/>
    <s v="TAPABOCAS DESECH. TELA QUIRURGICO"/>
    <n v="10000"/>
    <s v="UNIDAD"/>
    <n v="1850"/>
    <n v="351.5"/>
    <n v="22015000"/>
    <x v="3"/>
  </r>
  <r>
    <x v="10"/>
    <s v="2020-001"/>
    <s v="SUMINISTRO DE ELEMENTOS DE PROTECCIÓN PERSONAL PARA PREVENIR EL CONTAGIO POR COVID-19 DE LOS SERVIDORES DE LAS DIFERENTES SEDES Y DESPACHOS JUDICIALES DE LA DIRECCIÓN EJECUTIVA SECCIONAL DE ADMINISTRACIÓN JUDICIAL DE MEDELLÍN Y CHOCÓ"/>
    <d v="2020-03-30T00:00:00"/>
    <d v="2020-03-30T00:00:00"/>
    <n v="26983488"/>
    <n v="0"/>
    <s v="PRODEFARMA S.A.S."/>
    <n v="900727931"/>
    <s v="GUANTE DESECHABLE CAJA X100."/>
    <n v="307"/>
    <s v="CAJA X 100"/>
    <n v="13600"/>
    <n v="2584"/>
    <n v="4968488"/>
    <x v="18"/>
  </r>
  <r>
    <x v="10"/>
    <s v="2020-003"/>
    <s v="SUMINISTRO DE ELEMENTOS DE PROTECCIÓN PERSONAL PARA PREVENIR EL CONTAGIO POR COVID-19 DE LOS SERVIDORES DE LAS DIFERENTES SEDES Y DESPACHOS JUDICIALES DE LA DIRECCIÓN EJECUTIVA SECCIONAL DE ADMINISTRACIÓN JUDICIAL DE MEDELLÍN Y CHOCÓ"/>
    <d v="2020-04-29T00:00:00"/>
    <d v="2020-04-29T00:00:00"/>
    <n v="51899000"/>
    <n v="0"/>
    <s v="PRODEFARMA S.A.S."/>
    <n v="900727931"/>
    <s v="TAPABOCAS DESECHABLE._x000a_"/>
    <n v="34151"/>
    <s v="UNIDAD"/>
    <n v="1000"/>
    <n v="0"/>
    <n v="34151000"/>
    <x v="3"/>
  </r>
  <r>
    <x v="10"/>
    <s v="2020-003"/>
    <s v="SUMINISTRO DE ELEMENTOS DE PROTECCIÓN PERSONAL PARA PREVENIR EL CONTAGIO POR COVID-19 DE LOS SERVIDORES DE LAS DIFERENTES SEDES Y DESPACHOS JUDICIALES DE LA DIRECCIÓN EJECUTIVA SECCIONAL DE ADMINISTRACIÓN JUDICIAL DE MEDELLÍN Y CHOCÓ"/>
    <d v="2020-04-29T00:00:00"/>
    <d v="2020-04-29T00:00:00"/>
    <n v="51899000"/>
    <n v="0"/>
    <s v="PRODEFARMA S.A.S."/>
    <n v="900727931"/>
    <s v="GUANTE DESECHABLE LATEX CAJA X100 "/>
    <n v="1305"/>
    <s v="CAJA X 100"/>
    <n v="13600"/>
    <n v="0"/>
    <n v="17748000"/>
    <x v="18"/>
  </r>
  <r>
    <x v="10"/>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3898952"/>
    <n v="0"/>
    <s v="COMPEL S.A"/>
    <n v="800147520"/>
    <s v="TERMÓMETRO INFRAROJO UT30R"/>
    <n v="12"/>
    <s v="UNIDAD"/>
    <n v="300000"/>
    <n v="0"/>
    <n v="3600000"/>
    <x v="21"/>
  </r>
  <r>
    <x v="10"/>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3898952"/>
    <n v="0"/>
    <s v="COMPEL S.A"/>
    <n v="800147520"/>
    <s v="_x000a_PILA ALKALINA AAA GP"/>
    <n v="158"/>
    <s v="UNIDAD"/>
    <n v="1590"/>
    <n v="302.10000000000002"/>
    <n v="298951.8"/>
    <x v="34"/>
  </r>
  <r>
    <x v="10"/>
    <s v="2020-006"/>
    <s v="SUMINISTRO DE GEL ANTIBACTERIAL Y SOPORTE DE PARED_x000a_PARA PREVENIR EL CONTAGIO POR COVID-19 DE LOS_x000a_SERVIDORES DE LAS DIFERENTES SEDES Y DESPACHOS_x000a_JUDICIALES DE LA DIRECCIÓN EJECUTIVA SECCIONAL DE_x000a_ADMINISTRACIÓN JUDICIAL DE MEDELLÍN Y CHOCÓ"/>
    <d v="2020-05-08T00:00:00"/>
    <d v="2020-05-12T00:00:00"/>
    <n v="36164900"/>
    <n v="0"/>
    <s v="SERVISEPTICOS S.A.S."/>
    <n v="900429897"/>
    <s v="GEL ANTIBACTER. TAPA DISP. X LITRO."/>
    <n v="1354"/>
    <s v="LITRO"/>
    <n v="16850"/>
    <n v="0"/>
    <n v="22814900"/>
    <x v="4"/>
  </r>
  <r>
    <x v="10"/>
    <s v="2020-006"/>
    <s v="SUMINISTRO DE GEL ANTIBACTERIAL Y SOPORTE DE PARED_x000a_PARA PREVENIR EL CONTAGIO POR COVID-19 DE LOS_x000a_SERVIDORES DE LAS DIFERENTES SEDES Y DESPACHOS_x000a_JUDICIALES DE LA DIRECCIÓN EJECUTIVA SECCIONAL DE_x000a_ADMINISTRACIÓN JUDICIAL DE MEDELLÍN Y CHOCÓ"/>
    <d v="2020-05-08T00:00:00"/>
    <d v="2020-05-12T00:00:00"/>
    <n v="36164900"/>
    <n v="0"/>
    <s v="SERVISEPTICOS S.A.S."/>
    <n v="900429897"/>
    <s v="SOPORTE METÁLICO DE PARED."/>
    <n v="1335"/>
    <s v="UNIDAD"/>
    <n v="10000"/>
    <n v="0"/>
    <n v="13350000"/>
    <x v="12"/>
  </r>
  <r>
    <x v="10"/>
    <s v="2020-003"/>
    <s v="SUMINISTRO DE ELEMENTOS DE PROTECCIÓN PERSONAL PARA PREVENIR EL CONTAGIO POR COVID-19 DE LOS SERVIDORES DE LAS DIFERENTES SEDES Y DESPACHOS JUDICIALES DE LA DIRECCIÓN EJECUTIVA SECCIONAL DE ADMINISTRACIÓN JUDICIAL DE MEDELLÍN Y CHOCÓ"/>
    <d v="2020-04-29T00:00:00"/>
    <d v="2020-05-05T00:00:00"/>
    <n v="0"/>
    <n v="150000000"/>
    <s v="PRODEFARMA S.A.S."/>
    <n v="900727931"/>
    <s v="TAPABOCAS EN TELA QUIRÚRGICA"/>
    <n v="150000"/>
    <s v="UNIDAD"/>
    <n v="1000"/>
    <n v="0"/>
    <n v="150000000"/>
    <x v="3"/>
  </r>
  <r>
    <x v="10"/>
    <s v="2020-015"/>
    <s v="SUMINISTRO DE PAPELERAS DE PEDAL Y BOLSAS PLÁSTICAS, PARA LA RECOLECCIÓN DE LOS ELEMENTOS DE PROTECCIÓN PERSONAL UTILIZADOS POR LOS SERVIDORES DE LAS DIFERENTES SEDES Y DESPACHOS JUDICIALES DE MEDELLÍN Y CHOCÓ EN EL MARCO DE LA PREVENCIÓN DEL CONTAGIO POR COVID-19."/>
    <d v="2020-07-03T00:00:00"/>
    <d v="2020-07-06T00:00:00"/>
    <n v="14999192"/>
    <n v="0"/>
    <s v="VENTAS Y MÁS S.A.S"/>
    <n v="900471617"/>
    <s v="PAPELERA DE PEDAL"/>
    <n v="440"/>
    <s v="UNIDAD"/>
    <n v="29500"/>
    <n v="0"/>
    <n v="12980000"/>
    <x v="15"/>
  </r>
  <r>
    <x v="10"/>
    <s v="2020-015"/>
    <s v="SUMINISTRO DE PAPELERAS DE PEDAL Y BOLSAS PLÁSTICAS, PARA LA RECOLECCIÓN DE LOS ELEMENTOS DE PROTECCIÓN PERSONAL UTILIZADOS POR LOS SERVIDORES DE LAS DIFERENTES SEDES Y DESPACHOS JUDICIALES DE MEDELLÍN Y CHOCÓ EN EL MARCO DE LA PREVENCIÓN DEL CONTAGIO POR COVID-19."/>
    <d v="2020-07-03T00:00:00"/>
    <d v="2020-07-06T00:00:00"/>
    <n v="14999192"/>
    <n v="0"/>
    <s v="VENTAS Y MÁS S.A.S"/>
    <n v="900471617"/>
    <s v="BOLSAS X 100 50*60"/>
    <n v="303"/>
    <s v="PAQUETE X 100"/>
    <n v="5600"/>
    <n v="1064"/>
    <n v="2019192"/>
    <x v="37"/>
  </r>
  <r>
    <x v="11"/>
    <s v="COM003"/>
    <s v="ADQUISICIÓN DE ELEMENTOS PARA LA PREVENCIÓN DEL CONTAGIO DEL COVID 19”"/>
    <s v="2020/03/20"/>
    <s v="2020/03/20"/>
    <n v="21078782"/>
    <n v="0"/>
    <s v="SUMINISTROS INTEGRALES G&amp;E SAS"/>
    <n v="900406714"/>
    <s v="GUANTE NITRILO X 100 TALLA L MARCA PROTEX"/>
    <n v="12"/>
    <s v="CAJA X 100"/>
    <n v="18487"/>
    <n v="3512.53"/>
    <n v="263994.36"/>
    <x v="10"/>
  </r>
  <r>
    <x v="11"/>
    <s v="COM003"/>
    <s v="ADQUISICIÓN DE ELEMENTOS PARA LA PREVENCIÓN DEL CONTAGIO DEL COVID 19”"/>
    <s v="2020/03/20"/>
    <s v="2020/03/20"/>
    <n v="21078782"/>
    <n v="0"/>
    <s v="SUMINISTROS INTEGRALES G&amp;E SAS"/>
    <n v="900406714"/>
    <s v="JABON LIQUIDO ANTIBACTERIAL 19 LT AVENA BERHLAN"/>
    <n v="190"/>
    <s v="LITRO"/>
    <n v="3557.2105263157896"/>
    <n v="675.87"/>
    <n v="804285.3"/>
    <x v="5"/>
  </r>
  <r>
    <x v="11"/>
    <s v="COM003"/>
    <s v="ADQUISICIÓN DE ELEMENTOS PARA LA PREVENCIÓN DEL CONTAGIO DEL COVID 19”"/>
    <s v="2020/03/20"/>
    <s v="2020/03/20"/>
    <n v="21078782"/>
    <n v="0"/>
    <s v="SUMINISTROS INTEGRALES G&amp;E SAS"/>
    <n v="900406714"/>
    <s v="ATOMIZADOR ECONOMICO DE 500 CC"/>
    <n v="4"/>
    <s v="UNIDAD"/>
    <n v="2251.21"/>
    <n v="427.72989999999999"/>
    <n v="10715.759599999999"/>
    <x v="42"/>
  </r>
  <r>
    <x v="11"/>
    <s v="COM003"/>
    <s v="ADQUISICIÓN DE ELEMENTOS PARA LA PREVENCIÓN DEL CONTAGIO DEL COVID 19”"/>
    <s v="2020/03/20"/>
    <s v="2020/03/20"/>
    <n v="21078782"/>
    <n v="0"/>
    <s v="SUMINISTROS INTEGRALES G&amp;E SAS"/>
    <n v="900406714"/>
    <s v="TAPABOCAS DESECHABLE MARCA RYMCO"/>
    <n v="1500"/>
    <s v="UNIDAD"/>
    <n v="582.3528"/>
    <n v="110.647032"/>
    <n v="1039499.7479999999"/>
    <x v="3"/>
  </r>
  <r>
    <x v="11"/>
    <s v="COM003"/>
    <s v="ADQUISICIÓN DE ELEMENTOS PARA LA PREVENCIÓN DEL CONTAGIO DEL COVID 19”"/>
    <s v="2020/03/20"/>
    <s v="2020/03/20"/>
    <n v="21078782"/>
    <n v="0"/>
    <s v="SUMINISTROS INTEGRALES G&amp;E SAS"/>
    <n v="900406714"/>
    <s v="FRASCO CON TAPA DOSIFICADORA"/>
    <n v="5"/>
    <s v="UNIDAD"/>
    <n v="6303.33"/>
    <n v="1197.6327000000001"/>
    <n v="37504.813500000004"/>
    <x v="42"/>
  </r>
  <r>
    <x v="11"/>
    <s v="COM003"/>
    <s v="ADQUISICIÓN DE ELEMENTOS PARA LA PREVENCIÓN DEL CONTAGIO DEL COVID 19”"/>
    <s v="2020/03/20"/>
    <s v="2020/03/20"/>
    <n v="21078782"/>
    <n v="0"/>
    <s v="SUMINISTROS INTEGRALES G&amp;E SAS"/>
    <n v="900406714"/>
    <s v="PISTOLA ATOMIZADORA"/>
    <n v="12"/>
    <s v="UNIDAD"/>
    <n v="2974"/>
    <n v="565.06000000000006"/>
    <n v="42468.72"/>
    <x v="42"/>
  </r>
  <r>
    <x v="11"/>
    <s v="COM003"/>
    <s v="ADQUISICIÓN DE ELEMENTOS PARA LA PREVENCIÓN DEL CONTAGIO DEL COVID 19”"/>
    <s v="2020/03/20"/>
    <s v="2020/03/20"/>
    <n v="21078782"/>
    <n v="0"/>
    <s v="SUMINISTROS INTEGRALES G&amp;E SAS"/>
    <n v="900406714"/>
    <s v="GUANTE NITRILO X 100 TALLA M MARCA PROTEX"/>
    <n v="5"/>
    <s v="CAJA X 100"/>
    <n v="18487"/>
    <n v="3512.53"/>
    <n v="109997.65"/>
    <x v="10"/>
  </r>
  <r>
    <x v="11"/>
    <s v="COM003"/>
    <s v="ADQUISICIÓN DE ELEMENTOS PARA LA PREVENCIÓN DEL CONTAGIO DEL COVID 19”"/>
    <s v="2020/03/20"/>
    <s v="2020/03/20"/>
    <n v="21078782"/>
    <n v="0"/>
    <s v="SUMINISTROS INTEGRALES G&amp;E SAS"/>
    <n v="900406714"/>
    <s v="GLOSANIT 30 CUÑETE X 20 LTS"/>
    <n v="20"/>
    <s v="LITRO"/>
    <n v="12653.846000000001"/>
    <n v="2404.2307400000004"/>
    <n v="301161.53480000002"/>
    <x v="43"/>
  </r>
  <r>
    <x v="11"/>
    <s v="COM003"/>
    <s v="ADQUISICIÓN DE ELEMENTOS PARA LA PREVENCIÓN DEL CONTAGIO DEL COVID 19”"/>
    <s v="2020/03/20"/>
    <s v="2020/03/20"/>
    <n v="21078782"/>
    <n v="0"/>
    <s v="SUMINISTROS INTEGRALES G&amp;E SAS"/>
    <n v="900406714"/>
    <s v="JUMBO BLANCO HOJA SENCILLA X 220 MT FSC"/>
    <n v="1200"/>
    <s v="ROLLO"/>
    <n v="1284.4166666666667"/>
    <n v="244.03916666666669"/>
    <n v="1834147"/>
    <x v="24"/>
  </r>
  <r>
    <x v="11"/>
    <s v="COM003"/>
    <s v="ADQUISICIÓN DE ELEMENTOS PARA LA PREVENCIÓN DEL CONTAGIO DEL COVID 19”"/>
    <s v="2020/03/20"/>
    <s v="2020/03/20"/>
    <n v="21078782"/>
    <n v="0"/>
    <s v="SUMINISTROS INTEGRALES G&amp;E SAS"/>
    <n v="900406714"/>
    <s v="TOALLAS MANO DOBLADA EN Z NATURAL TRIPLE HOJA 150 TOALLAS"/>
    <n v="72"/>
    <s v="PAQUETE X 150"/>
    <n v="5389"/>
    <n v="1023.91"/>
    <n v="461729.52"/>
    <x v="8"/>
  </r>
  <r>
    <x v="11"/>
    <s v="COM003"/>
    <s v="ADQUISICIÓN DE ELEMENTOS PARA LA PREVENCIÓN DEL CONTAGIO DEL COVID 19”"/>
    <s v="2020/03/20"/>
    <s v="2020/03/20"/>
    <n v="21078782"/>
    <n v="0"/>
    <s v="SUMINISTROS INTEGRALES G&amp;E SAS"/>
    <n v="900406714"/>
    <s v="TOALLA DE MANO PREC X 100 MTS CERTIFICADA FSC M FAMILIA"/>
    <n v="360"/>
    <s v="ROLLO X 100 MTS"/>
    <n v="15913"/>
    <n v="3023.4700000000003"/>
    <n v="6817129.2000000002"/>
    <x v="8"/>
  </r>
  <r>
    <x v="11"/>
    <s v="COM003"/>
    <s v="ADQUISICIÓN DE ELEMENTOS PARA LA PREVENCIÓN DEL CONTAGIO DEL COVID 19”"/>
    <s v="2020/03/20"/>
    <s v="2020/03/20"/>
    <n v="21078782"/>
    <n v="0"/>
    <s v="SUMINISTROS INTEGRALES G&amp;E SAS"/>
    <n v="900406714"/>
    <s v="FAMITEX PAÑOS SEMIDESECHABLES BLANCO CX4 PAQ PAQ  X 50 PAÑOS"/>
    <n v="2400"/>
    <s v="UNIDAD"/>
    <n v="578.22"/>
    <n v="109.8618"/>
    <n v="1651396.32"/>
    <x v="44"/>
  </r>
  <r>
    <x v="11"/>
    <s v="COM003"/>
    <s v="ADQUISICIÓN DE ELEMENTOS PARA LA PREVENCIÓN DEL CONTAGIO DEL COVID 19”"/>
    <s v="2020/03/20"/>
    <s v="2020/03/20"/>
    <n v="21078782"/>
    <n v="0"/>
    <s v="SUMINISTROS INTEGRALES G&amp;E SAS"/>
    <n v="900406714"/>
    <s v="JABON LIQUIDO X 1000 ML "/>
    <n v="126"/>
    <s v="LITRO"/>
    <n v="25205"/>
    <n v="4788.95"/>
    <n v="3779237.7"/>
    <x v="5"/>
  </r>
  <r>
    <x v="11"/>
    <s v="COM003"/>
    <s v="ADQUISICIÓN DE ELEMENTOS PARA LA PREVENCIÓN DEL CONTAGIO DEL COVID 19”"/>
    <s v="2020/03/20"/>
    <s v="2020/03/20"/>
    <n v="21078782"/>
    <n v="0"/>
    <s v="SUMINISTROS INTEGRALES G&amp;E SAS"/>
    <n v="900406714"/>
    <s v="OVEROL NO ESTERIL"/>
    <n v="300"/>
    <s v="UNIDAD"/>
    <n v="10650"/>
    <n v="2023.5"/>
    <n v="3802050"/>
    <x v="0"/>
  </r>
  <r>
    <x v="11"/>
    <s v="COM004"/>
    <s v="ADQUISICIÓN DE ELEMENTOS PARA LA PREVENCIÓN DEL CONTAGIO DEL COVID 19"/>
    <s v="2020/03/25"/>
    <s v="2020/03/25"/>
    <n v="10499998"/>
    <n v="0"/>
    <s v="ECCOCLEAN SAS"/>
    <n v="901260145"/>
    <s v="LIQUIDO ANTIBACTERIAL GLICERADO"/>
    <n v="350"/>
    <s v="LITRO"/>
    <n v="25210.080000000002"/>
    <n v="4789.9152000000004"/>
    <n v="10499998.32"/>
    <x v="4"/>
  </r>
  <r>
    <x v="11"/>
    <s v="COM005"/>
    <s v="ADQUISICIÓN DE ELEMENTOS PARA LA PREVENCIÓN DEL CONTAGIO DEL COVID 19"/>
    <s v="2020/03/25"/>
    <s v="2020/03/25"/>
    <n v="1081500"/>
    <n v="0"/>
    <s v="IVAN DARIO CARMONA LOPEZ"/>
    <n v="15354493"/>
    <s v="CAJAS DE GUANTES NITRILO T.L X 1000 UND"/>
    <n v="40"/>
    <s v="CAJA X 100"/>
    <n v="21260.504199999999"/>
    <n v="4039.4957979999999"/>
    <n v="1011999.99992"/>
    <x v="10"/>
  </r>
  <r>
    <x v="11"/>
    <s v="COM005"/>
    <s v="ADQUISICIÓN DE ELEMENTOS PARA LA PREVENCIÓN DEL CONTAGIO DEL COVID 19"/>
    <s v="2020/03/25"/>
    <s v="2020/03/25"/>
    <n v="1081500"/>
    <n v="0"/>
    <s v="IVAN DARIO CARMONA LOPEZ"/>
    <n v="15354493"/>
    <s v="BOLSAS SOLAPA 13X19 POR 100 UND"/>
    <n v="5"/>
    <s v="PAQUETE X 100"/>
    <n v="4621.84"/>
    <n v="878.14960000000008"/>
    <n v="27499.948"/>
    <x v="37"/>
  </r>
  <r>
    <x v="11"/>
    <s v="COM005"/>
    <s v="ADQUISICIÓN DE ELEMENTOS PARA LA PREVENCIÓN DEL CONTAGIO DEL COVID 19"/>
    <s v="2020/03/25"/>
    <s v="2020/03/25"/>
    <n v="1081500"/>
    <n v="0"/>
    <s v="IVAN DARIO CARMONA LOPEZ"/>
    <n v="15354493"/>
    <s v="BOLSAS CIERRE 18X22 POR 100 UND"/>
    <n v="6"/>
    <s v="PAQUETE X 100"/>
    <n v="5882.35"/>
    <n v="1117.6465000000001"/>
    <n v="41999.978999999999"/>
    <x v="37"/>
  </r>
  <r>
    <x v="11"/>
    <s v="COM006"/>
    <s v="ADQUISICIÓN DE ELEMENTOS PARA LA PREVENCIÓN DEL CONTAGIO DEL COVID 19"/>
    <s v="2020/03/25"/>
    <s v="2020/03/25"/>
    <n v="6426000"/>
    <n v="0"/>
    <s v="EMPRESA INDUSTRIA DE CONFECCIONES MONKYDU S.A.S."/>
    <n v="901212927"/>
    <s v="MASCARILLA EN TELA POLITEX"/>
    <n v="3000"/>
    <s v="UNIDAD"/>
    <n v="1800"/>
    <n v="342"/>
    <n v="6426000"/>
    <x v="3"/>
  </r>
  <r>
    <x v="11"/>
    <s v="COM007"/>
    <s v="ADQUISICIÓN DE ELEMENTOS PARA LA PREVENCIÓN DEL CONTAGIO DEL COVID 19"/>
    <s v="2020/04/17"/>
    <s v="2020/04/17"/>
    <n v="15999997"/>
    <n v="0"/>
    <s v="ECCOCLEAN SAS"/>
    <n v="901260145"/>
    <s v="LIQUIDO ANTIBACTERIAL ALCOHOL GLICERADO X 1000 ML"/>
    <n v="400"/>
    <s v="LITRO"/>
    <n v="21008.400000000001"/>
    <n v="3991.5960000000005"/>
    <n v="9999998.4000000004"/>
    <x v="20"/>
  </r>
  <r>
    <x v="11"/>
    <s v="COM007"/>
    <s v="ADQUISICIÓN DE ELEMENTOS PARA LA PREVENCIÓN DEL CONTAGIO DEL COVID 19"/>
    <s v="2020/04/17"/>
    <s v="2020/04/17"/>
    <n v="15999997"/>
    <n v="0"/>
    <s v="ECCOCLEAN SAS"/>
    <n v="901260145"/>
    <s v="GEL ANTIBACTERIAL A BASE DE ALCOHOL AL 96%"/>
    <n v="300"/>
    <s v="LITRO"/>
    <n v="16806.72"/>
    <n v="3193.2768000000001"/>
    <n v="5999999.04"/>
    <x v="4"/>
  </r>
  <r>
    <x v="11"/>
    <s v="COM008"/>
    <s v="ADQUISICIÓN DE ELEMENTOS PARA LA PREVENCIÓN DEL CONTAGIO DEL COVID 19"/>
    <d v="2020-04-17T00:00:00"/>
    <d v="2020-04-17T00:00:00"/>
    <n v="12500000"/>
    <n v="0"/>
    <s v="INDUSTRIAS DE CONFECCIONES MONKYDU SAS"/>
    <n v="901212927"/>
    <s v="TRAJES DE PROTECCION FABRICADO EN POLIETILENO (CHAQUETA, PANTALON CON RESORTE EN LA CINTURA, BOTAS ANATOMICAS CON CAUCHO DE AJUSTE)"/>
    <n v="500"/>
    <s v="UNIDAD"/>
    <n v="21008.403399999999"/>
    <n v="3991.596646"/>
    <n v="12500000.023"/>
    <x v="0"/>
  </r>
  <r>
    <x v="11"/>
    <s v="SER010"/>
    <s v="DESINFECCIÓN AMBIENTAL DE SEDES JUDICIALES DEL DISTRITO JUDICIAL DE MONTERÍA ENCAMINADA A LA DESTRUCCIÓN DE LOS MICROORGANISMOS PATÓGENOS COMO BACTERIAS, VIRUS Y HONGOS MEDIANTE LA UTILIZACIÓN DE PRODUCTOS QUÍMICOS APLICADOS POR MÉTODO DE ASPERSION Y NEBULIZACIÓN"/>
    <s v="2020/04/01"/>
    <s v="2020/04/01"/>
    <n v="75000000"/>
    <n v="0"/>
    <s v="EMPRESA GRUPO FRANKA FSI SAS"/>
    <n v="900306020"/>
    <s v="DESINFECCION AMBIENTALPOR ASPERSION Y NEBULIZACION DE JUZGADOS Y OFICINAS"/>
    <n v="30000"/>
    <s v="METROS CUBICOS"/>
    <n v="2100.840336134454"/>
    <n v="399.15966386554624"/>
    <n v="75000000"/>
    <x v="38"/>
  </r>
  <r>
    <x v="11"/>
    <s v="COM013"/>
    <s v="SUMINISTRO DE DISPENSADORES PORTATILES DE GEL CON PEDAL E INSUMOS PARA FORTALECER LA MEDIDAS DE PREVENCIÓN DEL CONTAGIO Y DE LA PROPAGACION DEL COVID -19"/>
    <d v="2020-06-02T00:00:00"/>
    <d v="2020-06-02T00:00:00"/>
    <n v="4000000"/>
    <n v="0"/>
    <s v="PORRAS CONSTRUCTORES &amp; ASOCIADOS SAS"/>
    <n v="901059820"/>
    <s v="DISPENSADORES DE PEDAL PARA GEL ANTIBACTERIAL EN ACERO INOXIDABLE"/>
    <n v="22"/>
    <s v="UNIDAD"/>
    <n v="134453.78"/>
    <n v="25546.218199999999"/>
    <n v="3519999.9604000002"/>
    <x v="12"/>
  </r>
  <r>
    <x v="11"/>
    <s v="COM013"/>
    <s v="SUMINISTRO DE DISPENSADORES PORTATILES DE GEL CON PEDAL E INSUMOS PARA FORTALECER LA MEDIDAS DE PREVENCIÓN DEL CONTAGIO Y DE LA PROPAGACION DEL COVID -19"/>
    <d v="2020-06-02T00:00:00"/>
    <d v="2020-06-02T00:00:00"/>
    <n v="4000000"/>
    <n v="0"/>
    <s v="PORRAS CONSTRUCTORES &amp; ASOCIADOS SAS"/>
    <n v="901059820"/>
    <s v="GEL ANTIBACTERIAL X 1L"/>
    <n v="24"/>
    <s v="LITRO"/>
    <n v="16806.73"/>
    <n v="3193.2786999999998"/>
    <n v="480000.20879999996"/>
    <x v="4"/>
  </r>
  <r>
    <x v="11"/>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BARRERA ANTIFLUIDO EN ACRILICO 120X100 CM CHASIS O SOPORTE METALICO SP CRISTAL 4MM"/>
    <n v="50"/>
    <s v="UNIDAD"/>
    <n v="300000"/>
    <n v="57000"/>
    <n v="17850000"/>
    <x v="13"/>
  </r>
  <r>
    <x v="11"/>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LAVAMANOS INDUSTRIAL PORTATIL PEDAL AGUA Y JABON"/>
    <n v="3"/>
    <s v="UNIDAD"/>
    <n v="1100000"/>
    <n v="209000"/>
    <n v="3927000"/>
    <x v="9"/>
  </r>
  <r>
    <x v="11"/>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GUANTES DE NITRILO CAJA X 100 UNIDADES"/>
    <n v="80"/>
    <s v="CAJA X 100"/>
    <n v="45000"/>
    <n v="0"/>
    <n v="3600000"/>
    <x v="10"/>
  </r>
  <r>
    <x v="11"/>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GAFAS DE SEGURIDAD X UNIDAD"/>
    <n v="300"/>
    <s v="UNIDAD"/>
    <n v="10000"/>
    <n v="0"/>
    <n v="3000000"/>
    <x v="35"/>
  </r>
  <r>
    <x v="11"/>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TERMOMETROS INFRAROJOS"/>
    <n v="30"/>
    <s v="UNIDAD"/>
    <n v="385000"/>
    <n v="0"/>
    <n v="11550000"/>
    <x v="21"/>
  </r>
  <r>
    <x v="11"/>
    <s v="COM015"/>
    <s v="COMPRA DE PRODUCTOS DE ASEO Y ELEMENTOS DE PROTECCIÓN PERSONAL TALES COMO TAPABOCAS,_x000a_ALCOHOL GLICERADO, GEL ANTIBACTERIAL PARA FORTALECER LA MEDIDAS DE PREVENCIÓN DEL CONTAGIO Y DE LA PROPAGACION DEL COVID -19"/>
    <d v="2020-06-05T00:00:00"/>
    <d v="2020-06-05T00:00:00"/>
    <n v="131250000"/>
    <n v="0"/>
    <s v="FUNDACIÓN SANTIAGO EL MAYOR"/>
    <n v="901220553"/>
    <s v="TAPABOCAS ANTIFLUIDO ELASTICO FABRICACION NACIONAL"/>
    <n v="72000"/>
    <s v="UNIDAD"/>
    <n v="1150"/>
    <n v="0"/>
    <n v="82800000"/>
    <x v="3"/>
  </r>
  <r>
    <x v="11"/>
    <s v="COM015"/>
    <s v="COMPRA DE PRODUCTOS DE ASEO Y ELEMENTOS DE PROTECCIÓN PERSONAL TALES COMO TAPABOCAS,_x000a_ALCOHOL GLICERADO, GEL ANTIBACTERIAL PARA FORTALECER LA MEDIDAS DE PREVENCIÓN DEL CONTAGIO Y DE LA PROPAGACION DEL COVID -19"/>
    <d v="2020-06-05T00:00:00"/>
    <d v="2020-06-05T00:00:00"/>
    <n v="131250000"/>
    <n v="0"/>
    <s v="FUNDACIÓN SANTIAGO EL MAYOR"/>
    <n v="901220553"/>
    <s v="ALCOHOL GLICERINADO CON REGISTRO INVIMA X LT"/>
    <n v="1500"/>
    <s v="LITRO"/>
    <n v="17800"/>
    <n v="0"/>
    <n v="26700000"/>
    <x v="45"/>
  </r>
  <r>
    <x v="11"/>
    <s v="COM015"/>
    <s v="COMPRA DE PRODUCTOS DE ASEO Y ELEMENTOS DE PROTECCIÓN PERSONAL TALES COMO TAPABOCAS,_x000a_ALCOHOL GLICERADO, GEL ANTIBACTERIAL PARA FORTALECER LA MEDIDAS DE PREVENCIÓN DEL CONTAGIO Y DE LA PROPAGACION DEL COVID -19"/>
    <d v="2020-06-05T00:00:00"/>
    <d v="2020-06-05T00:00:00"/>
    <n v="131250000"/>
    <n v="0"/>
    <s v="FUNDACIÓN SANTIAGO EL MAYOR"/>
    <n v="901220553"/>
    <s v="GEL ANTIBACTERIAL CON REGISTRO INVIMA X LT}"/>
    <n v="1500"/>
    <s v="LITRO"/>
    <n v="14500"/>
    <n v="0"/>
    <n v="21750000"/>
    <x v="4"/>
  </r>
  <r>
    <x v="11"/>
    <s v="SER014"/>
    <s v="FASE FINAL DEL PROYECTO ADECUACIONES EN EDIFICIO PALACIO DE JUSTICIA EN PRO DE LA MITIGACION DE LA PROPAGACION DEL COVID 19 "/>
    <d v="2020-05-26T00:00:00"/>
    <d v="2020-05-26T00:00:00"/>
    <n v="30414385"/>
    <n v="0"/>
    <s v="ARMANDO RAFAEL BULA OTERO"/>
    <n v="78761321"/>
    <s v="FASE FINAL DEL PROYECTO ADECUACIONES EN EDIFICIO PALACIO DE JUSTICIA EN PRO DE LA MITIGACION DE LA PROPAGACION DEL COVID 19 "/>
    <n v="1"/>
    <s v="GLOBAL"/>
    <n v="30188750"/>
    <n v="225635"/>
    <n v="30414385"/>
    <x v="19"/>
  </r>
  <r>
    <x v="11"/>
    <s v="SER-020"/>
    <s v="PRESTACION DEL SERVICIO DE PERSONAL DE APOYO A LA GESTION (VIGIAS DE LA SALUD) PARA VELAR POR EL CUMPLIMIENTO DE LOS PROTOCOLOS DE BIOSEGURIDAD ESTABLECIDOS POR LA RAMA JUDICIAL Y FORTALECER LAS MEDIDAS DE PREVENCION DEL CONTAGIO Y PROPAGACION DEL COVID 19"/>
    <d v="2020-06-16T00:00:00"/>
    <d v="2020-06-16T00:00:00"/>
    <n v="139955340"/>
    <n v="0"/>
    <s v="EMPRESA EFECTIVA EST SS"/>
    <n v="812002952"/>
    <s v="PERSONAL DE APOYO PARA LA GESTION (POR 6 MESES)"/>
    <n v="14"/>
    <s v="VALOR MENSUAL POR PERSONA"/>
    <n v="1666135"/>
    <n v="0"/>
    <n v="139955340"/>
    <x v="6"/>
  </r>
  <r>
    <x v="11"/>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GUANTES DE NITRILO TALLA M-L CAJA X 100 UND"/>
    <n v="630"/>
    <s v="CAJA X 100"/>
    <n v="45000"/>
    <n v="0"/>
    <n v="28350000"/>
    <x v="10"/>
  </r>
  <r>
    <x v="11"/>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GUANTES DE NITRILO TALLA M-L CAJA X 100 UND"/>
    <n v="4"/>
    <s v="CAJA X 100"/>
    <n v="25000"/>
    <n v="0"/>
    <n v="100000"/>
    <x v="10"/>
  </r>
  <r>
    <x v="11"/>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BOLSA CIERRE HERMETICO 30X40 X 100 UND"/>
    <n v="5"/>
    <s v="PAQUETE X 100"/>
    <n v="18487.399999999998"/>
    <n v="3512.6059999999998"/>
    <n v="110000.02999999998"/>
    <x v="37"/>
  </r>
  <r>
    <x v="11"/>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BOLSA CIERRE HERMETICO 30X48 X 100 UND"/>
    <n v="5"/>
    <s v="PAQUETE X 100"/>
    <n v="26890.76"/>
    <n v="5109.2443999999996"/>
    <n v="160000.022"/>
    <x v="37"/>
  </r>
  <r>
    <x v="11"/>
    <s v="012-2020"/>
    <s v="ADQUISICIÓN, DISTRIBUCION E INSTALACIÓN DE DIADEMAS Y CAMARAS WEB PARA LOS DESPACHOS JUDICIALES Y TRIBUNALES DEL DISTRITO JUDICIAL DE MONTERÍA"/>
    <d v="2020-05-29T00:00:00"/>
    <d v="2020-05-29T00:00:00"/>
    <n v="64800000"/>
    <n v="0"/>
    <s v="COMPU DF SAS"/>
    <n v="901315614"/>
    <s v="DIADEMAS USB"/>
    <n v="160"/>
    <s v="UNIDAD"/>
    <n v="176470.59"/>
    <n v="33529.412100000001"/>
    <n v="33600000.335999995"/>
    <x v="32"/>
  </r>
  <r>
    <x v="11"/>
    <s v="012-2020"/>
    <s v="ADQUISICIÓN, DISTRIBUCION E INSTALACIÓN DE DIADEMAS Y CAMARAS WEB PARA LOS DESPACHOS JUDICIALES Y TRIBUNALES DEL DISTRITO JUDICIAL DE MONTERÍA"/>
    <d v="2020-05-29T00:00:00"/>
    <d v="2020-05-29T00:00:00"/>
    <n v="64800000"/>
    <n v="0"/>
    <s v="COMPU DF SAS"/>
    <n v="901315614"/>
    <s v="WEB CAM USB"/>
    <n v="160"/>
    <s v="UNIDAD"/>
    <n v="163865.54999999999"/>
    <n v="31134.4545"/>
    <n v="31200000.719999999"/>
    <x v="31"/>
  </r>
  <r>
    <x v="12"/>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TRAJE DE PROTECCION CORPORAL (TAIBER BLANCO)"/>
    <n v="400"/>
    <s v="UNIDAD"/>
    <n v="16807"/>
    <n v="3193.33"/>
    <n v="8000132.0000000009"/>
    <x v="0"/>
  </r>
  <r>
    <x v="12"/>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GUANTE (NITRILO) TALLA M (desechables, hipoalergénicos, no estériles, alta resistencia a la elongación, libre de talco, ambidiestros, puño con reborde)"/>
    <n v="300"/>
    <s v="CAJA X 100"/>
    <n v="42017"/>
    <n v="7983.2300000000005"/>
    <n v="15000069.000000002"/>
    <x v="10"/>
  </r>
  <r>
    <x v="12"/>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GUANTE (NITRILO) TALLA L (desechables, hipoalergénicos, no estériles, alta resistencia a la elongación, libre de talco, ambidiestros, puño con reborde)"/>
    <n v="300"/>
    <s v="CAJA X 100"/>
    <n v="42017"/>
    <n v="7983.2300000000005"/>
    <n v="15000069.000000002"/>
    <x v="10"/>
  </r>
  <r>
    <x v="12"/>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TOALLAS DESECHAFLES (toallas en Z color natural) PQTE"/>
    <n v="1500"/>
    <s v="PAQUETE X 150"/>
    <n v="6975"/>
    <n v="1325.25"/>
    <n v="12450375"/>
    <x v="8"/>
  </r>
  <r>
    <x v="12"/>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GEL ANTIBACTERIAL "/>
    <n v="2280"/>
    <s v="LITRO"/>
    <n v="15480"/>
    <n v="2941.2"/>
    <n v="42000336"/>
    <x v="4"/>
  </r>
  <r>
    <x v="12"/>
    <s v="12COM002-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20T00:00:00"/>
    <d v="2020-03-30T00:00:00"/>
    <n v="20230000"/>
    <n v="0"/>
    <s v="ANA JOSEFA PANQUEBA NUÑEZ"/>
    <n v="51684220"/>
    <s v="LAVAMANOS PORTATILES  (totalmente autonomo, con tanques de almacenamiento de residuos y mobiliarios en acero inoxidable  en calibre 20 lamina 30, no requiere ningun tipo de conexión ni alcantarillado, inlcuye bomba de piso de manos libres de fabricacion inglesa, tanques de almacenamiento de agua residual y potable, cada uno de 20 litros)ALTO 90 CMS X ANCHO43CMS X FONDO43CMS"/>
    <n v="10"/>
    <s v="UNIDAD"/>
    <n v="1700000"/>
    <n v="323000"/>
    <n v="20230000"/>
    <x v="9"/>
  </r>
  <r>
    <x v="12"/>
    <s v="12COM003-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20T00:00:00"/>
    <d v="2020-03-25T00:00:00"/>
    <n v="15600000"/>
    <n v="0"/>
    <s v="DMC ASESORIAS Y SUMINISTROS SAS"/>
    <n v="900920737"/>
    <s v="TAPABOCAS EN TELA ANTIFLUIDOS LAFAYETTE ALTA CALIDAD CON CAUCHO 7MM, COLOR BLANCO, EMPAQUE INDIVIDUAL BOLSA TRANSPARENTE EN PAQUETES DE 50 UNIDADES."/>
    <n v="6240"/>
    <s v="UNIDAD"/>
    <n v="2500"/>
    <n v="0"/>
    <n v="15600000"/>
    <x v="3"/>
  </r>
  <r>
    <x v="12"/>
    <s v="12COM004-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12050000"/>
    <n v="0"/>
    <s v="CONEXIÓN JURIDICA-MONTES Y ASOCIADOS SAS"/>
    <n v="901002888"/>
    <s v="GEL ANTIBACTERIAL "/>
    <n v="300"/>
    <s v="LITRO"/>
    <n v="18000"/>
    <n v="0"/>
    <n v="5400000"/>
    <x v="4"/>
  </r>
  <r>
    <x v="12"/>
    <s v="12COM004-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12050000"/>
    <n v="0"/>
    <s v="CONEXIÓN JURIDICA-MONTES Y ASOCIADOS SAS"/>
    <n v="901002888"/>
    <s v="JABON LIQUIDO PARA MANOS "/>
    <n v="700"/>
    <s v="LITRO"/>
    <n v="9500"/>
    <n v="0"/>
    <n v="6650000"/>
    <x v="5"/>
  </r>
  <r>
    <x v="12"/>
    <s v="12COM005-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26949480"/>
    <n v="0"/>
    <s v="C I WARRIORS COMPANY SAS"/>
    <n v="900916649"/>
    <s v="ALCOHOL ANTISEPTICO DE 500ML"/>
    <n v="445"/>
    <s v="LITRO"/>
    <n v="17864"/>
    <n v="0"/>
    <n v="7949480"/>
    <x v="20"/>
  </r>
  <r>
    <x v="12"/>
    <s v="12COM005-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26949480"/>
    <n v="0"/>
    <s v="C I WARRIORS COMPANY SAS"/>
    <n v="900916649"/>
    <s v="DESINFECTANTE QUIRURGICO (Sales de amonio cuaternario (solucion al 80% agua- alcohol): alquil dimetil bencil cloruro de amonio, octil, decil cloruro de amonio, dodecil, dimetil cloruro de amonio y dioctil dimetil cloruro de amonio."/>
    <n v="400"/>
    <s v="LITRO"/>
    <n v="47500"/>
    <n v="0"/>
    <n v="19000000"/>
    <x v="43"/>
  </r>
  <r>
    <x v="12"/>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GUANTES DE NITRILO M/L (desechables, hipoalergénicos, no estériles, alta resistencia a la elongación, libre de talco, ambidiestros, puño con reborde)"/>
    <n v="99"/>
    <s v="CAJA X 100"/>
    <n v="40000"/>
    <n v="0"/>
    <n v="3960000"/>
    <x v="10"/>
  </r>
  <r>
    <x v="12"/>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TOALLAS INTERDOBLADAS  (doble hoja con un tamaño mínimo de 20 cm de largo por 15 cm de ancho (PAQUETE)"/>
    <n v="3500"/>
    <s v="PAQUETE X 150"/>
    <n v="5200"/>
    <n v="0"/>
    <n v="18200000"/>
    <x v="8"/>
  </r>
  <r>
    <x v="12"/>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GAFAS DE PROTECCION UNIDAD (Unilente de proteccion transparente)"/>
    <n v="600"/>
    <s v="UNIDAD"/>
    <n v="7000"/>
    <n v="0"/>
    <n v="4200000"/>
    <x v="35"/>
  </r>
  <r>
    <x v="12"/>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TERMOMETRO INFRAROJO DIGITAL DE DOBLE SENSOR DE ALTA SENSIBILIDAD"/>
    <n v="8"/>
    <s v="UNIDAD"/>
    <n v="360000"/>
    <n v="0"/>
    <n v="2880000"/>
    <x v="21"/>
  </r>
  <r>
    <x v="12"/>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TERMOMETRO DIGITAL PARED - INTELIGENTE ( sin contacto uso institucional, mide la temperatura sin necesidad de sostenerlo, colgado en cualquier superficie usando cinta o un soporte. Sin necesidad de contacto con superficies, evita infecciones cruzadas, incluye bataria de litio y cable conector de USB de alimentacion  contiene   Método de medición: sin contacto con la frente del termómetro infrarrojo ℃ y ℉. Alarma automática para temperatura anormal: destellos de luz roja, sonido de alarma continua, Distancia: 5 ~ 10 cm, En espera: 5s, Pantalla digital, Temperatura de medición: 0 ~ 80 grados ℃, Temperatura ambiente: 5 ~ 45 grados ℃,  Tiempo de respuesta: 500 ms . )"/>
    <n v="7"/>
    <s v="UNIDAD"/>
    <n v="1300000"/>
    <n v="0"/>
    <n v="9100000"/>
    <x v="21"/>
  </r>
  <r>
    <x v="12"/>
    <s v="12COM007-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9683640"/>
    <n v="0"/>
    <s v="INTEGRAL SERVICES &amp; SOLUTIONS S. A. S. INSSOL S. A. S"/>
    <n v="830094214"/>
    <s v="GEL ANTIBACTERIAL FC X1LT (alcohol isopropilico 70% en gel para antisepsia de manos, alcohol isopropilico en gel para antisepsia de manos, 70ml+2g/100ml)"/>
    <n v="342"/>
    <s v="LITRO"/>
    <n v="13500"/>
    <n v="0"/>
    <n v="4617000"/>
    <x v="4"/>
  </r>
  <r>
    <x v="12"/>
    <s v="12COM007-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9683640"/>
    <n v="0"/>
    <s v="INTEGRAL SERVICES &amp; SOLUTIONS S. A. S. INSSOL S. A. S"/>
    <n v="830094214"/>
    <s v="DISPENSADOR DE TOALLAS DESECHAFLES INTERDOBLADAS  (Descripción general: Dispensador para colocar papel toalla interdoblada, Base negra y Tapa Níquel con un ranura para observar consumo de papel. Recomendado para lugares de alta rotación y W.C. públicos.  Componentes y Materiales:  - Fabricado en ABS todos los componentes - Fabricado en ABS la tapa con recubrimiento con Níquel-Barniz, - Cerradura de seguridad línea futura  Cacaidad : para minimo 150 toallas)"/>
    <n v="40"/>
    <s v="UNIDAD"/>
    <n v="76666"/>
    <n v="0"/>
    <n v="3066640"/>
    <x v="12"/>
  </r>
  <r>
    <x v="12"/>
    <s v="12COM007-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9683640"/>
    <n v="0"/>
    <s v="INTEGRAL SERVICES &amp; SOLUTIONS S. A. S. INSSOL S. A. S"/>
    <n v="830094214"/>
    <s v="DISPENSADOR DE JABON DE 500 ML ; es ideal para dosificar productos como jabon liquido caracteristicas de producto; Fabricado en polipropileno de alto impacto, resistente a los golpes, facil de instalar con valvula antogoteo"/>
    <n v="40"/>
    <s v="UNIDAD"/>
    <n v="50000"/>
    <n v="0"/>
    <n v="2000000"/>
    <x v="12"/>
  </r>
  <r>
    <x v="12"/>
    <s v="12COM008-2020"/>
    <s v="ADQUISICIÓN DE ELEMENTOS DE PROTECCIÓN PERSONAL, ELEMENTOS DE ASEO Y EQUIPOS BIOMÉDICOS ANTE LA EMERGENCIA SANITARIA (CORONAVIRUS – COVID-19), PARA LOS SERVIDORES – FUNCIONARIOS DE LOS DISTRITOS JUDICIALES DE NEIVA Y FLORENCIA, POR URGENCIA MANIFIESTA."/>
    <d v="2020-05-22T00:00:00"/>
    <d v="2020-05-27T00:00:00"/>
    <n v="9978900"/>
    <n v="0"/>
    <s v="SERVINDUSTRIALES DEL HUILA S.A.S."/>
    <n v="900347045"/>
    <s v="LAVAMANOS PORTATIL TOTALMENTE AUTONOMO ( con tanques de almacenamiento de residuos y mobiliario en acero inoxidable Scott 304 calibre 24 con estructura en tubo de 1”. Pozuelo redondo en acero Inoxidable, Grifería en acero inoxidable. No requieren ningún tipo de conexión ni alcantarillado. Adicionalmente incluye: Dispensador de jabón, Dispensador de toallas elaborados en ABC.  El lavamanos incluye: Bomba de Piso manos libres, tanques de almacenamiento de agua residual y potable cada uno de 30 litros.,_x000a_Medidas: 90 cm de Alto x 43,5 cm Ancho x 41.1 fondo"/>
    <n v="6"/>
    <s v="UNIDAD"/>
    <n v="1085000"/>
    <n v="206150"/>
    <n v="7746900"/>
    <x v="9"/>
  </r>
  <r>
    <x v="12"/>
    <s v="12COM008-2020"/>
    <s v="ADQUISICIÓN DE ELEMENTOS DE PROTECCIÓN PERSONAL, ELEMENTOS DE ASEO Y EQUIPOS BIOMÉDICOS ANTE LA EMERGENCIA SANITARIA (CORONAVIRUS – COVID-19), PARA LOS SERVIDORES – FUNCIONARIOS DE LOS DISTRITOS JUDICIALES DE NEIVA Y FLORENCIA, POR URGENCIA MANIFIESTA."/>
    <d v="2020-05-22T00:00:00"/>
    <d v="2020-05-27T00:00:00"/>
    <n v="9978900"/>
    <n v="0"/>
    <s v="SERVINDUSTRIALES DEL HUILA S.A.S."/>
    <n v="900347045"/>
    <s v="SOPORTE DISPENSADOR GEL ANTIBACTERIAL  (Soporte metalico accionado con pedal, especial para contener frasco de 500ml, con un uso push aplica la cantidad adeucda de producto. Dispensado de antimaterial portátil en tubo estructura HR de 1” Medidas: 1.20 cm Alto Soporte en piso tipo H Pedal en lamina alfajor Mecanismo con soporte de alta presión Pintura esmaltada Color Plata)"/>
    <n v="16"/>
    <s v="UNIDAD"/>
    <n v="117226.8907"/>
    <n v="22273.109232999999"/>
    <n v="2231999.9989280002"/>
    <x v="12"/>
  </r>
  <r>
    <x v="12"/>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TAPABOCAS 2 TELAS: Primera capa: tela anti fluidos Lafayette CLORORESISTENTE ANTIMICROBIAL Composición: tela 100% filamento de poliéster.Color disponible: blanco y azul oscuro.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Segunda capa: tejido punto HYDROTECH ANTIBACTERIAL, con elástico de 4mm. Composición: tela 100% filamento de poliéster.  Base perteneciente al programa de etiquetas  Protección Solar.  Excelente stretch (elongación) mecánico.  Tecnología desarrollada desde la Construcción del hilo y tejeduría, absorbe por el lado de contacto con la piel, transporta y evapora rápidamente la humedad del cuerpo por el lado exterior manteniendo seco y cómodo.  Tecnología: + Transpirabilidad  Tejido tipo malla con pequeños orificios que permiten la respirabilidad de la prenda "/>
    <n v="26692"/>
    <s v="UNIDAD"/>
    <n v="2500"/>
    <n v="0"/>
    <n v="66730000"/>
    <x v="3"/>
  </r>
  <r>
    <x v="12"/>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S: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30"/>
    <s v="UNIDAD"/>
    <n v="60000"/>
    <n v="0"/>
    <n v="1800000"/>
    <x v="36"/>
  </r>
  <r>
    <x v="12"/>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M: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50"/>
    <s v="UNIDAD"/>
    <n v="60000"/>
    <n v="0"/>
    <n v="3000000"/>
    <x v="36"/>
  </r>
  <r>
    <x v="12"/>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200"/>
    <s v="UNIDAD"/>
    <n v="65000"/>
    <n v="0"/>
    <n v="13000000"/>
    <x v="36"/>
  </r>
  <r>
    <x v="12"/>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X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50"/>
    <s v="UNIDAD"/>
    <n v="65000"/>
    <n v="0"/>
    <n v="3250000"/>
    <x v="36"/>
  </r>
  <r>
    <x v="12"/>
    <s v="12COM010-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6-03T00:00:00"/>
    <n v="87642600"/>
    <n v="0"/>
    <s v="SERVINDUSTRIALES DEL HUILA S.A.S."/>
    <n v="900347045"/>
    <s v="TAPABOCAS QUIRURGICO -DESECHABLE, CON RESORTE A LA OREJA , TRES CAPAS, ADAPTADOR NASAL AJUSTABLE, EN ALGODÓN;      Debe tener una adecuada presentación para su uso. Sus superficies deben tener un aspecto limpio, ser uniformes, tanto en color como en su textura, libres de astillas, rupturas, fisuras u otras imperfecciones libre de asperezas, elementos abrasivos o pegajosos. Los cauchos deben tener suficiente resistencia a la fricción para garantizar su durabilidad.     Los materiales y diseño del tapabocas deben garantizar la completa protección para impedir el paso de partículas perjudiciales para la salud de los humanos. Los materiales con que está elaborada no pueden ser tóxicos a los seres humanos Garantizar altos niveles de protección, durabilidad y comodidad.   Mascarilla quirúrgica, no tejida material fieltro, blanda desechable, con bandas elásticas para ajuste en orejas, clip metálico que permite ajustarse a la nariz.    Medidas aproximadas: 175 mm × 95 mm x ± 2 mm  Otras: Las partes del tapabocas deben estar unidas y aseguradas firmemente. De su uso adecuado no pueden presentarse desprendimientos, desajustes u otro tipo de defectos por ensamble inadecuado. presentacion  caja  x 50 unidades"/>
    <n v="46400"/>
    <s v="UNIDAD"/>
    <n v="1470"/>
    <n v="0"/>
    <n v="68208000"/>
    <x v="3"/>
  </r>
  <r>
    <x v="12"/>
    <s v="12COM010-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6-03T00:00:00"/>
    <n v="87642600"/>
    <n v="0"/>
    <s v="SERVINDUSTRIALES DEL HUILA S.A.S."/>
    <n v="900347045"/>
    <s v="DETERGENTE DESINFECTANTE DESODORANTE FRASCO PARA LA LIMPIEZA Y LA DESINFECCION DE TODA SUPERFICIE LAVABLE  - FRASCO  X 1LT CON DOSIFICADOR  INTEGRADO : Fabricado a base de amonio cuaternario de última generación, más alcohol, bactericida, fungicida y virusida mas perfume, acción en 15 minutos, no requiere enjuague.   desinfectante formulado con amonios cuaternarios de quinta generación “SUPERQUAT”, en un rango de concentración de 8.5% - 9.5%;  pH (100%) 9-11 Unidades, Densidad 0.92-1.02 g/mL, Índice de Refracción 1.350-1.370.  Totalmente apto para uso en industria de alimentos con propiedades como tensoactivo catiónico. su diseño único y novedoso ha sido científicamente desarrollado para la limpieza y la desinfección de superficies (pisos, paredes y techos). "/>
    <n v="1080"/>
    <s v="LITRO"/>
    <n v="17995"/>
    <n v="0"/>
    <n v="19434600"/>
    <x v="43"/>
  </r>
  <r>
    <x v="12"/>
    <s v="12COM011-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27353976"/>
    <n v="0"/>
    <s v="INTEGRAL SERVICES &amp; SOLUTIONS S. A. S. INSSOL S. A. S"/>
    <n v="830094214"/>
    <s v="GEL ANTIBACTERIAL  - FC X1LT : alcohol isopropilico 70% en gel para antisepsia de manos, alcohol isopropilico en gel para antisepsia de manos, 70ml+2g/100ml"/>
    <n v="1284"/>
    <s v="LITRO"/>
    <n v="13400"/>
    <n v="0"/>
    <n v="17205600"/>
    <x v="4"/>
  </r>
  <r>
    <x v="12"/>
    <s v="12COM011-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27353976"/>
    <n v="0"/>
    <s v="INTEGRAL SERVICES &amp; SOLUTIONS S. A. S. INSSOL S. A. S"/>
    <n v="830094214"/>
    <s v="JABÓN DISPENSADOR PARA MANOS 1 - LÍQUIDO, EN RECIPIENTE PLÁSTICO CON DISPENSADOR. con agente limpiador en una concentración mínima del 6%,  con agente humectante en una concentración mínima del 3%, - ph entre 5,5 a 7"/>
    <n v="1218"/>
    <s v="LITRO"/>
    <n v="8332"/>
    <n v="0"/>
    <n v="10148376"/>
    <x v="5"/>
  </r>
  <r>
    <x v="12"/>
    <s v="12COM013-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79458450"/>
    <n v="0"/>
    <s v="INCINERADOS DEL HUILA SAS E.S.P - INCIHUILA S.A.S E.S.P"/>
    <n v="813005241"/>
    <s v="GUANTES DE NITRILO TALLAS M Y L (desechables, hipoalergénicos, no estériles, alta resistencia a la elongación, libre de talco, ambidiestros, puño con reborde.  Caja x 100 unidades)"/>
    <n v="1791"/>
    <s v="CAJA X 100"/>
    <n v="40000"/>
    <n v="0"/>
    <n v="71640000"/>
    <x v="10"/>
  </r>
  <r>
    <x v="12"/>
    <s v="12COM013-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79458450"/>
    <n v="0"/>
    <s v="INCINERADOS DEL HUILA SAS E.S.P - INCIHUILA S.A.S E.S.P"/>
    <n v="813005241"/>
    <s v="ALCOHOL FRASCO ANTISEPTICO DE USO EXTERNO AL 70% FRASCO PLASTICO"/>
    <n v="832"/>
    <s v="LITRO"/>
    <n v="9397.1754799999999"/>
    <n v="0"/>
    <n v="7818449.9993599998"/>
    <x v="20"/>
  </r>
  <r>
    <x v="12"/>
    <s v="12COM014-2020"/>
    <s v="ADQUISICIÓN DE ELEMENTOS DE PROTECCIÓN PERSONAL, ELEMENTOS DE ASEO, Y EQUIPOS BIOMÉDICOS ANTE LA EMERGENCIA SANITARIA (CORONAVIRUS- COVID-19), PARA LOS SERVIDORES – FUNCIONARIOS DE LOS DISTRITOS JUDICIALES DE NEIVA Y FLORENCIA, POR URGENCIA MANIFIESTA"/>
    <d v="2020-06-01T00:00:00"/>
    <d v="2020-06-08T00:00:00"/>
    <n v="6288000"/>
    <n v="0"/>
    <s v="IMPRIDEAS S.A.S"/>
    <n v="900305563"/>
    <s v="DISPENSADOR DE GEL TIPO 1 ( Operador mecanicamente por medio de un pedal lo que hace que se oprima la valvula del envase dispensando el producto, caracteristicas:  Sistema de pedal para dispensador de antibacterial o alcohol, capacidad de un litro, color plata en pintura de polieuretano brillante - altura de 0,90 mt x ancho de 0.19 mt."/>
    <n v="32"/>
    <s v="UNIDAD"/>
    <n v="165126.05042000001"/>
    <n v="31373.949579800003"/>
    <n v="6287999.9999936009"/>
    <x v="12"/>
  </r>
  <r>
    <x v="12"/>
    <s v="12COM015-2020"/>
    <s v="ADQUISICIÓN DE ELEMENTOS DE PROTECCIÓN PERSONAL, ELEMENTOS DE ASEO, Y EQUIPOS BIOMÉDICOS ANTE LA EMERGENCIA SANITARIA (CORONAVIRUS- COVID-19), PARA LOS SERVIDORES – FUNCIONARIOS DE LOS DISTRITOS JUDICIALES DE NEIVA Y FLORENCIA, POR URGENCIA MANIFIESTA"/>
    <d v="2020-06-02T00:00:00"/>
    <d v="2020-06-08T00:00:00"/>
    <n v="3253250"/>
    <n v="0"/>
    <s v="FUNDACION TEJEDORES POR LA PAZ"/>
    <n v="900348560"/>
    <s v="CARETA DE BIOSEGURIDAD ELABORADA EN POLIETILENO DE ALTO IMPACTO Y VISOR TRANSPARENTE PET-MOVIL"/>
    <n v="275"/>
    <s v="UNIDAD"/>
    <n v="11830"/>
    <n v="0"/>
    <n v="3253250"/>
    <x v="11"/>
  </r>
  <r>
    <x v="12"/>
    <s v="12COM016-2020"/>
    <s v="ADQUISICIÓN DE ELEMENTOS DE PROTECCIÓN PERSONAL, ELEMENTOS DE ASEO, Y EQUIPOS BIOMÉDICOS ANTE LA EMERGENCIA SANITARIA (CORONAVIRUS- COVID-19), PARA LOS SERVIDORES – FUNCIONARIOS DE LOS DISTRITOS JUDICIALES DE NEIVA Y FLORENCIA, POR URGENCIA MANIFIESTA"/>
    <d v="2020-06-03T00:00:00"/>
    <d v="2020-06-08T00:00:00"/>
    <n v="11400000"/>
    <n v="0"/>
    <s v="FUNDACION TEJEDORES POR LA PAZ"/>
    <n v="900348560"/>
    <s v="KIT DE TAPETE DESINFECCION;(tamaño 65cm x 55cm, material en aluminio estructural con bordes redondeados, consta de :  a) tapete de secado. b) tapete humedo, esquinero en polimero, pegante poliuretano silicona.  c) inlcuye 40 ml en 25% de amonio cuaternario para 4 litros de agua.  resistible al amonio cuaternario, antideslizante."/>
    <n v="60"/>
    <s v="UNIDAD"/>
    <n v="190000"/>
    <n v="0"/>
    <n v="11400000"/>
    <x v="33"/>
  </r>
  <r>
    <x v="12"/>
    <s v="12COM017-2020"/>
    <s v="CONTRATAR EN NOMBRE DE LA NACIÓN - CONSEJO SUPERIOR DE LA JUDICATURA – DIRECCIÓN EJECUTIVA DE ADMINISTRACIÓN JUDICIAL SECCIONAL NEIVA, POR EL SISTEMA DE PRECIOS UNITARIOS LA ADQUISICIÓN DE EQUIPOS BIOMÉDICOS ANTE LA EMERGENCIA SANITARIA (CORONAVIRUS- COVID-19), PARA LOS SERVIDORES – FUNCIONARIOS DE LOS DISTRITOS JUDICIALES DE NEIVA Y FLORENCIA, POR URGENCIA MANIFIESTA."/>
    <d v="2020-06-09T00:00:00"/>
    <d v="2020-06-16T00:00:00"/>
    <n v="15750000"/>
    <n v="0"/>
    <s v="EL PUNTO ELECTRICO LTDA"/>
    <n v="800213675"/>
    <s v="TERMOMETRO INFRAROJO ( Modelo -JXB-178) (Marca Berrcon) Caracteristicas ; Pantalla de retroiluminación LCD con tres colores, Tamaño: 155-100*40 mm (LxWxH) Peso ( sin bateria): 105g Color Blanco, Resolución de pantalla de temperatura: 01 C, Consumo &lt; 300 mw"/>
    <n v="50"/>
    <s v="UNIDAD"/>
    <n v="315000"/>
    <n v="0"/>
    <n v="15750000"/>
    <x v="21"/>
  </r>
  <r>
    <x v="12"/>
    <s v="12SER011-2020"/>
    <s v="CONTRATAR LA PRESTACIÓN DE SERVICIOS DE PERSONAL DE APOYO A LA GESTIÓN (VIGÍAS DE SALUD) PARA VELAR POR EL CUMPLIMIENTO DE LOS PROTOCOLOS DE BIOSEGURIDAD ESTABLECIDOS POR LA RAMA JUDICIAL Y FORTALECER LAS MEDIDAS DE PREVENCIÓN DEL CONTAGIO Y DE LA PROPAGACIÓN DEL COVID -19."/>
    <d v="2020-06-26T00:00:00"/>
    <d v="2020-07-01T00:00:00"/>
    <n v="85748768"/>
    <n v="0"/>
    <s v="SOLUCIONES TEMPORALES S.A.S"/>
    <n v="900402861"/>
    <s v="AUXILIARES DE ENFERMERIA EL VALOR TOTAL CORRESPONDE A LOS MESES DE JULIO, AGOSTO, SEPTIEMBRE Y OCTUBRE. EL VALOR MENSUAL CORRESPONDE A $18.374.736 EQUIVALENTE A  12 PERSONAS X MES UBICADAS EN LAS SEDES: NEIVA (5), GARZON (1), PITALITO(1), LA PLATA(1), FLORENCIA (2), PUERTO RICO (1), BELEN DE LOS ANDAQUIES (1). (POR 4 MESES)"/>
    <n v="12"/>
    <s v="VALOR MENSUAL POR PERSONA"/>
    <n v="1531228"/>
    <n v="0"/>
    <n v="73498944"/>
    <x v="6"/>
  </r>
  <r>
    <x v="12"/>
    <s v="12SER011-2020"/>
    <s v="CONTRATAR LA PRESTACIÓN DE SERVICIOS DE PERSONAL DE APOYO A LA GESTIÓN (VIGÍAS DE SALUD) PARA VELAR POR EL CUMPLIMIENTO DE LOS PROTOCOLOS DE BIOSEGURIDAD ESTABLECIDOS POR LA RAMA JUDICIAL Y FORTALECER LAS MEDIDAS DE PREVENCIÓN DEL CONTAGIO Y DE LA PROPAGACIÓN DEL COVID -19."/>
    <d v="2020-06-26T00:00:00"/>
    <d v="2020-07-01T00:00:00"/>
    <n v="85748768"/>
    <n v="0"/>
    <s v="SOLUCIONES TEMPORALES S.A.S"/>
    <n v="900402861"/>
    <s v="AUXILIARES DE ENFERMERIA EL VALOR TOTAL CORRESPONDE AL MES DE NOVIEMBRE SEDES: NEIVA (5), PITALITO (1), FLORENCIA (2). VALOR MENSUAL DE $ 12,249,824"/>
    <n v="8"/>
    <s v="VALOR MENSUAL POR PERSONA"/>
    <n v="1531228"/>
    <n v="0"/>
    <n v="12249824"/>
    <x v="6"/>
  </r>
  <r>
    <x v="13"/>
    <s v="O.C. 47545"/>
    <s v="ADQUIRIR ELEMENTOS DE PROTECCION PERSONAL PARA PREVENIR EL CONTAGIO DEL COVID 19 CON DESTINO A LA RAMA JUDICIAL (TAPABOCAS DESECHABLES)"/>
    <d v="2020-04-23T00:00:00"/>
    <d v="2020-04-23T00:00:00"/>
    <n v="19975000"/>
    <n v="0"/>
    <s v="CACHUCHAS Y CAMISETAS GOO WILL SAS"/>
    <n v="830137645"/>
    <s v="TAPABOCAS DESECHABLES "/>
    <n v="25000"/>
    <s v="UNIDAD"/>
    <n v="799"/>
    <n v="0"/>
    <n v="19975000"/>
    <x v="3"/>
  </r>
  <r>
    <x v="13"/>
    <s v="O.C.47544"/>
    <s v="ADQUIRIR ELEMENTOS DE PROTECCION PERSONAL PARA PREVENIR EL CONTAGIO DEL COVID 19 CON DESTINO A LA RAMA JUDICIAL (ALCOHOL ANTISEPTICO GALON)"/>
    <d v="2020-04-23T00:00:00"/>
    <d v="2020-04-23T00:00:00"/>
    <n v="5142900"/>
    <n v="0"/>
    <s v="SUMIMAS S.A.S"/>
    <n v="830001338"/>
    <s v="ALCOHOL ANTISÉPTICO GALÓN AL 70% RECIPIENTE POR 3750 ML"/>
    <n v="380"/>
    <s v="LITRO"/>
    <n v="13533.94736842"/>
    <n v="0"/>
    <n v="5142899.9999996005"/>
    <x v="20"/>
  </r>
  <r>
    <x v="13"/>
    <s v="O.C.47546"/>
    <s v="ADQUIRIR ELEMENTOS DE PROTECCION PERSONAL PARA PREVENIR EL CONTAGIO DEL COVID 19 CON DESTINO A LA RAMA JUDICIAL (GEL ANTIBACTERIAL GALON)"/>
    <d v="2020-04-23T00:00:00"/>
    <d v="2020-04-23T00:00:00"/>
    <n v="16680840"/>
    <n v="0"/>
    <s v="PMI PROYECTOS MONTAJES E INGENIERIA "/>
    <n v="900704052"/>
    <s v="GELANTIBACTERIAL – GALON CONCENTRACION MINIMA DEL 0,2%"/>
    <n v="1254"/>
    <s v="LITRO"/>
    <n v="13302.105262999999"/>
    <n v="0"/>
    <n v="16680839.999801999"/>
    <x v="4"/>
  </r>
  <r>
    <x v="13"/>
    <s v="O.C.47547"/>
    <s v="ADQUIRIR ELEMENTOS DE PROTECCION PERSONAL PARA PREVENIR EL CONTAGIO DEL COVID 19 CON DESTINO A LA RAMA JUDICIAL (JABON DISPENSADOR PARA MANOS)"/>
    <d v="2020-04-23T00:00:00"/>
    <d v="2020-04-23T00:00:00"/>
    <n v="4605000"/>
    <n v="0"/>
    <s v="PMI PROYECTOS MONTAJES E INGENIERIA "/>
    <n v="900704052"/>
    <s v="JABÓN DISPENSADOR PARA_x000a_MANOS 2 - LÍQUIDO, EN RECIPIENTE PL STICO_x000a_CON CAPACIDAD MÍNIMA DE 3.785 CC"/>
    <n v="1140"/>
    <s v="LITRO"/>
    <n v="4039.473684"/>
    <n v="0"/>
    <n v="4604999.99976"/>
    <x v="5"/>
  </r>
  <r>
    <x v="13"/>
    <s v="O.C.47552"/>
    <s v="ADQUIRIR ELEMENTOS DE PROTECCION PERSONAL PARA PREVENIR EL CONTAGIO DEL COVID 19 CON DESTINO A LA RAMA JUDICIAL (TOALLAS PARA  MANOS)"/>
    <d v="2020-04-23T00:00:00"/>
    <d v="2020-04-23T00:00:00"/>
    <n v="9241540"/>
    <n v="0"/>
    <s v="INDUHOTEL SAS"/>
    <n v="900300970"/>
    <s v="TOALLAS PARA MANOS 4 - UNIDAD INTERDOBLADAS - DOBLE HOJA CON UN TAMAÑO MÍNIMO 15 CM DE ANCHO"/>
    <n v="2000"/>
    <s v="PAQUETE X 150"/>
    <n v="3883"/>
    <n v="0"/>
    <n v="7766000"/>
    <x v="8"/>
  </r>
  <r>
    <x v="13"/>
    <s v="O.C.47742"/>
    <s v="ADQUIRIR ELEMENTOS DE PROTECCION PERSONAL PARA PREVENIR EL CONTAGIO DEL COVID 19 CON DESTINO A LA RAMA JUDICIAL (MONOGAFA GOGGLESCONTRA IMPACTOS CON LENTES CLARAS)"/>
    <d v="2020-04-28T00:00:00"/>
    <d v="2020-04-28T00:00:00"/>
    <n v="2832200"/>
    <n v="0"/>
    <s v="PANAMERICANA LIBRERÍA Y PAELERIA SA"/>
    <n v="830037946"/>
    <s v="MONOGAFA GOGGLES CONTRA IMPACTOS_x000a_CON LENTES CLARAS COD. 900505987"/>
    <n v="200"/>
    <s v="UNIDAD"/>
    <n v="14161"/>
    <n v="0"/>
    <n v="2832200"/>
    <x v="2"/>
  </r>
  <r>
    <x v="13"/>
    <s v="O.C. 48332"/>
    <s v="ADQUIRIR ELEMENTOS DE PROTECCION PERSONAL PARA PREVENIR EL CONTAGIO DEL COVID 19 CON DESTINO A LA RAMA JUDICIAL (GEL ANTIBACTERIAL- CARETA DARNEL SENCILLA  - DISPENSADOR GEL PLANO - TERMOMETRO INFRAROJO)"/>
    <d v="2020-05-14T00:00:00"/>
    <d v="2020-05-14T00:00:00"/>
    <n v="4840000"/>
    <n v="0"/>
    <s v="VADEL S.A.S."/>
    <n v="900175023"/>
    <s v="GUANTES DE NITRILO"/>
    <n v="100"/>
    <s v="CAJA X 100"/>
    <n v="48400"/>
    <n v="0"/>
    <n v="4840000"/>
    <x v="10"/>
  </r>
  <r>
    <x v="13"/>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GEL ANTIBACTERIAL ORION "/>
    <n v="352"/>
    <s v="LITRO"/>
    <n v="23530"/>
    <n v="0"/>
    <n v="8282560"/>
    <x v="4"/>
  </r>
  <r>
    <x v="13"/>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CARETA DARNEL SENCILLA X 100 UN"/>
    <n v="3100"/>
    <s v="UNIDAD"/>
    <n v="7501"/>
    <n v="0"/>
    <n v="23253100"/>
    <x v="11"/>
  </r>
  <r>
    <x v="13"/>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DISPENSADOR DE GEL PLANO TUBERIA 1 PULGADA NEGRO"/>
    <n v="57"/>
    <s v="UNIDAD"/>
    <n v="130000"/>
    <n v="0"/>
    <n v="7410000"/>
    <x v="12"/>
  </r>
  <r>
    <x v="13"/>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TERMOMETRO INFRAROJO SIN CONTACTO MOD FZY-208A"/>
    <n v="18"/>
    <s v="UNIDAD"/>
    <n v="312500"/>
    <n v="0"/>
    <n v="5625000"/>
    <x v="21"/>
  </r>
  <r>
    <x v="13"/>
    <s v="O.C. 50632"/>
    <s v="ADQUIRIR ELEMENTOS DE PROTECCION PERSONAL PARA PREVENIR EL CONTAGIO DEL COVID 19 CON DESTINO A LA RAMA JUDICIAL (AMONIO CUATERNARIO, KIT DE TAPETES DESINFECTANTES, ALCOHOL USO GENERAL  CON ATOMIZADOR VIVAMACH )"/>
    <d v="2020-06-17T00:00:00"/>
    <d v="2020-06-17T00:00:00"/>
    <n v="18939000"/>
    <n v="0"/>
    <s v="OFFICE DEPOT "/>
    <n v="900023386"/>
    <s v="AMONIO CUATERNARIO"/>
    <n v="1680"/>
    <s v="LITRO"/>
    <n v="4975"/>
    <n v="0"/>
    <n v="8358000"/>
    <x v="46"/>
  </r>
  <r>
    <x v="13"/>
    <s v="O.C. 50632"/>
    <s v="ADQUIRIR ELEMENTOS DE PROTECCION PERSONAL PARA PREVENIR EL CONTAGIO DEL COVID 19 CON DESTINO A LA RAMA JUDICIAL (AMONIO CUATERNARIO, KIT DE TAPETES DESINFECTANTES, ALCOHOL USO GENERAL  CON ATOMIZADOR VIVAMACH )"/>
    <d v="2020-06-17T00:00:00"/>
    <d v="2020-06-17T00:00:00"/>
    <n v="18939000"/>
    <n v="0"/>
    <s v="OFFICE DEPOT "/>
    <n v="900023386"/>
    <s v="KIT DE TAPETES DESINFECTANTE (2 bandejas, tapete humedo y seco, y un galon amonio cuaternario x 3.800 m.l.)"/>
    <n v="28"/>
    <s v="KIT"/>
    <n v="285000"/>
    <n v="0"/>
    <n v="7980000"/>
    <x v="33"/>
  </r>
  <r>
    <x v="13"/>
    <s v="O.C. 50632"/>
    <s v="ADQUIRIR ELEMENTOS DE PROTECCION PERSONAL PARA PREVENIR EL CONTAGIO DEL COVID 19 CON DESTINO A LA RAMA JUDICIAL (AMONIO CUATERNARIO, KIT DE TAPETES DESINFECTANTES, ALCOHOL USO GENERAL  CON ATOMIZADOR VIVAMACH )"/>
    <d v="2020-06-17T00:00:00"/>
    <d v="2020-06-17T00:00:00"/>
    <n v="18939000"/>
    <n v="0"/>
    <s v="OFFICE DEPOT "/>
    <n v="900023386"/>
    <s v="ALCOHOL USO GENERAL 70% *1000 ML CON ATOMIZADOR VIMACH"/>
    <n v="170"/>
    <s v="LITRO"/>
    <n v="15300"/>
    <n v="0"/>
    <n v="2601000"/>
    <x v="20"/>
  </r>
  <r>
    <x v="13"/>
    <s v="O.C. 50851"/>
    <s v="ADQUIRIR ELEMENTOS DE PROTECCION PERSONAL PARA PREVENIR EL CONTAGIO DEL COVID 19 CON DESTINO A LA RAMA JUDICIAL (TAPABOCAS DOBLE TELA LAVABLE )"/>
    <d v="2020-06-19T00:00:00"/>
    <d v="2020-06-19T00:00:00"/>
    <n v="84864000"/>
    <n v="0"/>
    <s v="M.A.S. EMPRESARIAL SM SAS"/>
    <n v="900401081"/>
    <s v="TAPABOCAS DOBLE TELA LAVABLE"/>
    <n v="81600"/>
    <s v="UNIDAD"/>
    <n v="1040"/>
    <n v="0"/>
    <n v="84864000"/>
    <x v="3"/>
  </r>
  <r>
    <x v="13"/>
    <s v="O.C. 51219"/>
    <s v="ADQUIRIR ELEMENTOS DE PROTECCION PERSONAL PARA PREVENIR EL CONTAGIO DEL COVID 19 CON DESTINO A LA RAMA JUDICIAL (GUANTES DE NITRILO)"/>
    <d v="2020-06-27T00:00:00"/>
    <d v="2020-06-27T00:00:00"/>
    <n v="70590000"/>
    <n v="0"/>
    <s v="INDUHOTEL SAS"/>
    <n v="900300970"/>
    <s v="GUANTES DE NITRILO"/>
    <n v="1500"/>
    <s v="CAJA X 100"/>
    <n v="47060"/>
    <n v="0"/>
    <n v="70590000"/>
    <x v="10"/>
  </r>
  <r>
    <x v="14"/>
    <n v="1483604"/>
    <s v="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
    <d v="2020-04-01T00:00:00"/>
    <d v="2020-04-02T00:00:00"/>
    <n v="36816642"/>
    <n v="0"/>
    <s v="SOLMAQ SAS"/>
    <n v="860054854"/>
    <s v="MONOGAFA PROTECCION ALTO RENDIMIENTO Norma ANSI Z87.1-2010 Y  CSA Z94.3. "/>
    <n v="22"/>
    <s v="UNIDAD"/>
    <n v="36236"/>
    <n v="0"/>
    <n v="797192"/>
    <x v="2"/>
  </r>
  <r>
    <x v="14"/>
    <n v="1483604"/>
    <s v="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
    <d v="2020-04-01T00:00:00"/>
    <d v="2020-04-02T00:00:00"/>
    <n v="36816642"/>
    <n v="0"/>
    <s v="SOLMAQ SAS"/>
    <n v="860054854"/>
    <s v="TRAJE DE PROTECCIÓN OVEROL"/>
    <n v="1325"/>
    <s v="UNIDAD"/>
    <n v="22146"/>
    <n v="0"/>
    <n v="29343450"/>
    <x v="0"/>
  </r>
  <r>
    <x v="14"/>
    <n v="1483604"/>
    <s v="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
    <d v="2020-04-01T00:00:00"/>
    <d v="2020-04-02T00:00:00"/>
    <n v="36816642"/>
    <n v="0"/>
    <s v="SOLMAQ SAS"/>
    <n v="860054854"/>
    <s v="TAPABOCAS N95"/>
    <n v="1000"/>
    <s v="UNIDAD"/>
    <n v="6676"/>
    <n v="0"/>
    <n v="6676000"/>
    <x v="3"/>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GUANTE LATEX"/>
    <n v="124"/>
    <s v="CAJA X 100"/>
    <n v="15650"/>
    <n v="0"/>
    <n v="1940600"/>
    <x v="18"/>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JABON LIQUIDO ANTIBACTERIAL PARA MANOS GALON 3800 CC"/>
    <n v="3496"/>
    <s v="LITRO"/>
    <n v="4289.4736842105267"/>
    <n v="0"/>
    <n v="14996000.000000002"/>
    <x v="5"/>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GEL ANTIBACTERIAL MANOS "/>
    <n v="467.4"/>
    <s v="LITRO"/>
    <n v="16342.105263157895"/>
    <n v="0"/>
    <n v="7638300"/>
    <x v="4"/>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GEL ANTIBACTERIAL "/>
    <n v="7.5"/>
    <s v="LITRO"/>
    <n v="27600"/>
    <n v="0"/>
    <n v="207000"/>
    <x v="4"/>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DISPENSADOR JABÓN ACERO INOXIDABLE X 500 CC"/>
    <n v="168"/>
    <s v="UNIDAD"/>
    <n v="94500"/>
    <n v="0"/>
    <n v="15876000"/>
    <x v="12"/>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DISPENSADOR GEL  EN POLIPROPILENO 350 CC"/>
    <n v="60"/>
    <s v="UNIDAD"/>
    <n v="54500"/>
    <n v="0"/>
    <n v="3270000"/>
    <x v="12"/>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DISPENSADOR TOALLA EN ROLLO DE 100 MTS"/>
    <n v="120"/>
    <s v="UNIDAD"/>
    <n v="195782"/>
    <n v="0"/>
    <n v="23493840"/>
    <x v="12"/>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TOALLA ROLLO COLOR NATURAL 2H*100 METROS"/>
    <n v="852"/>
    <s v="ROLLO X 100 MTS"/>
    <n v="18250"/>
    <n v="0"/>
    <n v="15549000"/>
    <x v="8"/>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DISPENSADOR JABÓN ACERO INOXIDABLE X 500 CC"/>
    <n v="66"/>
    <s v="UNIDAD"/>
    <n v="94500"/>
    <n v="0"/>
    <n v="6237000"/>
    <x v="12"/>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DISPENSADOR GEL  EN POLIPROPILENO 350 CC"/>
    <n v="49"/>
    <s v="UNIDAD"/>
    <n v="54500"/>
    <n v="0"/>
    <n v="2670500"/>
    <x v="12"/>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DISPENSADOR TOALLA EN ROLLO DE 100 MTS"/>
    <n v="89"/>
    <s v="UNIDAD"/>
    <n v="195782"/>
    <n v="0"/>
    <n v="17424598"/>
    <x v="12"/>
  </r>
  <r>
    <x v="14"/>
    <n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TOALLA ROLLO COLOR NATURAL 2H*100 METROS"/>
    <n v="720"/>
    <s v="ROLLO X 100 MTS"/>
    <n v="18250"/>
    <n v="0"/>
    <n v="13140000"/>
    <x v="8"/>
  </r>
  <r>
    <x v="14"/>
    <n v="1547625"/>
    <s v="CONTRATAR EN NOMBRE DE LA NACIÓN, CONSEJO SUPERIOR DE JUDICATURA, DIRECCIÓN EJECUTIVA SECCIONAL DE ADMINISTRACIÓN JUDICIAL DE PASTO LA ADQUISICIÓN MEDIANTE LA MODALIDAD DE COMPRAVENTA DE TAPABOCAS PARA LOS SERVIDORES JUDICIALES DE LOS DISTRITOS JUDICIALES DE PASTO Y MOCOA"/>
    <d v="2020-05-06T00:00:00"/>
    <d v="2020-05-08T00:00:00"/>
    <n v="24999480"/>
    <n v="0"/>
    <s v="INCINERADOS DEL HUILA SAS E.S.P."/>
    <n v="813005241"/>
    <s v="TAPABOCAS  DESECHABLE DE 3 CAPAS"/>
    <n v="18939"/>
    <s v="UNIDAD"/>
    <n v="1320"/>
    <n v="0"/>
    <n v="24999480"/>
    <x v="3"/>
  </r>
  <r>
    <x v="14"/>
    <n v="1574446"/>
    <s v="CONTRATAR EN NOMBRE DE LA NACIÓN, CONSEJO SUPERIOR DE JUDICATURA, DIRECCIÓN EJECUTIVA SECCIONAL ADMINISTRACIÓN JUDICIAL PASTO LA ADQUISICIÓN MEDIANTE LA MODALIDAD DE COMPRAVENTA GEL ANTIBACTERIAL EN PRESENTACIÓN DE 120 ML"/>
    <d v="2020-05-19T00:00:00"/>
    <d v="2020-05-20T00:00:00"/>
    <n v="5488560"/>
    <n v="0"/>
    <s v="BIO LABORATORIOS ESTELAR S.A.S "/>
    <n v="901143417"/>
    <s v="GEL ANTIBACTERIAL "/>
    <n v="302.39999999999998"/>
    <s v="LITRO"/>
    <n v="18150"/>
    <n v="0"/>
    <n v="5488560"/>
    <x v="4"/>
  </r>
  <r>
    <x v="14"/>
    <s v="O.C. 47665"/>
    <s v="CONTRATAR EN NOMBRE DE LA NACIÓN, CONSEJO SUPERIOR DE JUDICATURA, DIRECCIÓN EJECUTIVA SECCIONAL DE ADMINISTRACIÓN JUDICIAL DE PASTO LA ADQUISICIÓN MEDIANTE LA MODALIDAD DE COMPRAVENTA DE TAPABOCAS Y GUANTES PARA LOS SERVIDORES JUDICIALES DE LOS DISTRITOS JUDICIALES DE PASTO Y MOCOA"/>
    <d v="2020-04-28T00:00:00"/>
    <d v="2020-04-28T00:00:00"/>
    <n v="4020100"/>
    <n v="0"/>
    <s v="DYD SAS"/>
    <n v="900225460"/>
    <s v="GUANTES DE LATEX"/>
    <n v="200"/>
    <s v="CAJA X 100"/>
    <n v="20100.5"/>
    <n v="0"/>
    <n v="4020100"/>
    <x v="18"/>
  </r>
  <r>
    <x v="14"/>
    <s v="O.C. 47666"/>
    <s v="CONTRATAR EN NOMBRE DE LA NACIÓN, CONSEJO SUPERIOR DE JUDICATURA, DIRECCIÓN EJECUTIVA SECCIONAL DE ADMINISTRACIÓN JUDICIAL DE PASTO LA ADQUISICIÓN MEDIANTE LA MODALIDAD DE COMPRAVENTA DE TAPABOCAS Y GUANTES PARA LOS SERVIDORES JUDICIALES DE LOS DISTRITOS JUDICIALES DE PASTO Y MOCOA"/>
    <d v="2020-04-28T00:00:00"/>
    <d v="2020-04-28T00:00:00"/>
    <n v="1055276.3999999999"/>
    <n v="0"/>
    <s v="DYD SAS"/>
    <n v="900225460"/>
    <s v="GUANTES DE NITRILO"/>
    <n v="15"/>
    <s v="CAJA X 100"/>
    <n v="70351.759999999995"/>
    <n v="0"/>
    <n v="1055276.3999999999"/>
    <x v="10"/>
  </r>
  <r>
    <x v="14"/>
    <s v="O.C. 47878"/>
    <s v="ADQUISICIÓN DE TERMÓMETROS CON EL FIN DE APLICAR MEDIDAS DE CONTROL DE INGRESO DE PERSONAS A LAS SEDES JUDICIALES, DENTRO DE LAS MEDIDAS DE PREVENCIÓN DEL COVID19"/>
    <d v="2020-04-30T00:00:00"/>
    <d v="2020-04-30T00:00:00"/>
    <n v="634758"/>
    <n v="0"/>
    <s v="PANAMERICANA LIBRERÍA Y PAPELERÍA S.A."/>
    <n v="830037946"/>
    <s v="TERMOMETRO INFRA-ROJO 9V"/>
    <n v="1"/>
    <s v="UNIDAD"/>
    <n v="631600"/>
    <n v="3158"/>
    <n v="634758"/>
    <x v="21"/>
  </r>
  <r>
    <x v="14"/>
    <s v="O.C. 47879 "/>
    <s v="ADQUISICIÓN DE TERMÓMETROS CON EL FIN DE APLICAR MEDIDAS DE CONTROL DE INGRESO DE PERSONAS A LAS SEDES JUDICIALES, DENTRO DE LAS MEDIDAS DE PREVENCIÓN DEL COVID19"/>
    <d v="2020-04-30T00:00:00"/>
    <d v="2020-04-30T00:00:00"/>
    <n v="3808548"/>
    <n v="0"/>
    <s v="PANAMERICANA LIBRERÍA Y PAPELERÍA S.A."/>
    <n v="830037946"/>
    <s v="TERMOMETRO  INFRA-ROJO 9V"/>
    <n v="6"/>
    <s v="UNIDAD"/>
    <n v="631600"/>
    <n v="3158"/>
    <n v="3808548"/>
    <x v="21"/>
  </r>
  <r>
    <x v="14"/>
    <s v="O.C. 48782"/>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12206031"/>
    <n v="0"/>
    <s v="INDUHOTEL SAS"/>
    <n v="900300970"/>
    <s v="ALCOHOL - FRASCO X 750 ML"/>
    <n v="225"/>
    <s v="LITRO"/>
    <n v="9581.24"/>
    <n v="0"/>
    <n v="2155779"/>
    <x v="20"/>
  </r>
  <r>
    <x v="14"/>
    <s v="O.C. 48782"/>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12206031"/>
    <n v="0"/>
    <s v="INDUHOTEL SAS"/>
    <n v="900300970"/>
    <s v="ALCOHOL GALÓN X 3.750"/>
    <n v="750"/>
    <s v="LITRO"/>
    <n v="13400.335999999999"/>
    <n v="0"/>
    <n v="10050252"/>
    <x v="20"/>
  </r>
  <r>
    <x v="14"/>
    <s v="O.C. 48783"/>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8422110"/>
    <n v="0"/>
    <s v="JAIME BELTRAN URIBE - POLYFLEX"/>
    <n v="10125834"/>
    <s v="GEL ANTIBACTERIAL - "/>
    <n v="750"/>
    <s v="LITRO"/>
    <n v="11229.48"/>
    <n v="0"/>
    <n v="8422110"/>
    <x v="4"/>
  </r>
  <r>
    <x v="14"/>
    <s v="O.C. 48783"/>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3817086"/>
    <n v="0"/>
    <s v="JAIME BELTRAN URIBE - POLYFLEX"/>
    <n v="10125834"/>
    <s v="JABÓN LÍQUIDO DE 3.785 CC"/>
    <n v="757"/>
    <s v="LITRO"/>
    <n v="5042.3857331571999"/>
    <n v="0"/>
    <n v="3817086.0000000005"/>
    <x v="5"/>
  </r>
  <r>
    <x v="14"/>
    <s v="O.C. 48784"/>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19T00:00:00"/>
    <d v="2020-05-19T00:00:00"/>
    <n v="984924.5"/>
    <n v="0"/>
    <s v="Ofibest S.A.S"/>
    <n v="900350133"/>
    <s v="JABÓN LÍQUIDO DE 3.785 CC"/>
    <n v="185.465"/>
    <s v="LITRO"/>
    <n v="5310.5680317040951"/>
    <n v="0"/>
    <n v="984924.5"/>
    <x v="5"/>
  </r>
  <r>
    <x v="14"/>
    <s v="O.C. 48785"/>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19T00:00:00"/>
    <d v="2020-05-19T00:00:00"/>
    <n v="12512562"/>
    <n v="0"/>
    <s v="SUMIMAS S.A.S"/>
    <n v="8300013381"/>
    <s v="GEL ANTIBACTERIAL -"/>
    <n v="1135.5"/>
    <s v="LITRO"/>
    <n v="11019.429326287978"/>
    <n v="0"/>
    <n v="12512562"/>
    <x v="4"/>
  </r>
  <r>
    <x v="14"/>
    <s v="O.C. 48968"/>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21T00:00:00"/>
    <d v="2020-05-21T00:00:00"/>
    <n v="2924622"/>
    <n v="0"/>
    <s v="PMI PROYECTOS MONTAJES E INGENIERIA"/>
    <n v="900704052"/>
    <s v="ALCOHOL ISOPROPILICO 70% EN GEL FC X 500ML"/>
    <n v="150"/>
    <s v="LITRO"/>
    <n v="19497.48"/>
    <n v="0"/>
    <n v="2924622"/>
    <x v="20"/>
  </r>
  <r>
    <x v="14"/>
    <s v="O.C. 49003"/>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22T00:00:00"/>
    <d v="2020-05-22T00:00:00"/>
    <n v="1407035"/>
    <n v="0"/>
    <s v="SERE GROUP SAS"/>
    <n v="900922139"/>
    <s v="JABÓN LÍQUIDO CON DISPENSADOR  DE 500 ML."/>
    <n v="50"/>
    <s v="LITRO"/>
    <n v="28140.7"/>
    <n v="0"/>
    <n v="1407035"/>
    <x v="5"/>
  </r>
  <r>
    <x v="14"/>
    <s v="O.C. 49342"/>
    <s v="CONTRATAR EN NOMBRE DE LA NACIÓN, CONSEJO SUPERIOR DE JUDICATURA, DIRECCIÓN_x000a_EJECUTIVA SECCIONAL DE ADMINISTRACIÓN JUDICIAL DE PASTO LA ADQUISICIÓN MEDIANTE_x000a_LA MODALIDAD DE COMPRAVENTA DE TERMÓMETROS INFRARROJOS PARA UBICAR EN ALGUNAS_x000a_SEDES JUDICIALES DE LOS DISTRITOS JUDICIALES DE PASTO Y MOCOA"/>
    <d v="2020-05-28T00:00:00"/>
    <d v="2020-05-28T00:00:00"/>
    <n v="10854000"/>
    <n v="0"/>
    <s v="PANAMERICANA LIBRERÍA Y PAPELERÍA S.A."/>
    <n v="830037946"/>
    <s v="TERMOMETRO DIGITAL INFRA-ROJO"/>
    <n v="18"/>
    <s v="UNIDAD"/>
    <n v="600000"/>
    <n v="3000"/>
    <n v="10854000"/>
    <x v="21"/>
  </r>
  <r>
    <x v="14"/>
    <n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BARRERA. PUERTA  BATIENTE  CON MARCO  DE ALUMINIO  NATURAL  EN PERFIL T-215, ADAPTADOR PROYECTANTE  Y PISA VIDRIO PROYECTANTE 635, CON VIDRIO DE 6 MM, CON VINILO ESMERILADO   SANDBLASTING,    EN   LA   PARTE   INFERIOR   Y SUPERIOR DOBLE VIDRIO DE 6 MM PARA FACILITAR LA COMUNICACIÓN   ENTRE   LA  PARTE   INTERIOR   Y  EXTERIOR, INCLUYE  VENTANA  CORREDIZA  PASA DOCUMENTOS  A UNA ALTURA  DE  90  CMS,  MESÓN  DE  APOYO  PASA DOCUMENTOS   INTERNO   CON   SISTEMA   REMOVIBLE,   EN MDF  CON  CUBIERTA  EN FORMICA  O SIMILAR,  CHAPA  DE SEGURIDAD  170 ¼. INCLUYE ASEO GENERAL"/>
    <n v="44.9"/>
    <s v="METRO CUADRADO"/>
    <n v="450000"/>
    <n v="0"/>
    <n v="20205000"/>
    <x v="13"/>
  </r>
  <r>
    <x v="14"/>
    <n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DIVISION  CON MARCO DE ALUMINIO  NATURAL EN PERFIL T-1101 Y PISAVIDRIO  PROYECTANTE  635, CON VIDRIO CRISTAL DE  5MM,  INCL.  ELEMENTOS   DE  FIJACIÓN  A  MESON  Y TECHO_x000a_"/>
    <n v="107.6"/>
    <s v="METRO CUADRADO"/>
    <n v="189000"/>
    <n v="0"/>
    <n v="20336400"/>
    <x v="13"/>
  </r>
  <r>
    <x v="14"/>
    <n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SUMINISTRO E INSTALACIÓN DE: INTERCOMUNICADOR POTENCIA INTERNA MÍNIMA: 3   WATTS; POTENCIA    EXTERNA:    5-7.   DIMENSIONES: UNIDAD EXTERNA: DIÁMETRO 12.7 CM, PROFUNDIDAD 4.8 CM. UNIDAD INTERNA: DIÁMETRO 12.7 CM, PROFUNDIDAD 4.8 CM. MICRÓFONO FLEXIBLE: LARGO MÍNIMO: 59 CM. ADAPTADOR DE 110V/220V AC A 12V"/>
    <n v="10"/>
    <s v="UNIDAD"/>
    <n v="1628000"/>
    <n v="0"/>
    <n v="16280000"/>
    <x v="47"/>
  </r>
  <r>
    <x v="14"/>
    <n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SUMINISTRO  E  INSTALACIÓN   DE  SALIDA  TOMACORRIENTE PARA INTERCOMUNICADOR"/>
    <n v="10"/>
    <s v="UNIDAD"/>
    <n v="87000"/>
    <n v="0"/>
    <n v="870000"/>
    <x v="19"/>
  </r>
  <r>
    <x v="14"/>
    <n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0"/>
    <n v="14563079"/>
    <s v="ADC DECORACIONES LIMITADA"/>
    <n v="830014921"/>
    <s v="BARRERA. PUERTA  BATIENTE  CON MARCO  DE ALUMINIO  NATURAL  EN PERFIL T-215, ADAPTADOR PROYECTANTE  Y PISA VIDRIO PROYECTANTE 635, CON VIDRIO DE 6 MM, CON VINILO ESMERILADO   SANDBLASTING,    EN   LA   PARTE   INFERIOR   Y SUPERIOR DOBLE VIDRIO DE 6 MM PARA FACILITAR LA COMUNICACIÓN   ENTRE   LA  PARTE   INTERIOR   Y  EXTERIOR, INCLUYE  VENTANA  CORREDIZA  PASA DOCUMENTOS  A UNA ALTURA  DE  90  CMS,  MESÓN  DE  APOYO  PASA DOCUMENTOS   INTERNO   CON   SISTEMA   REMOVIBLE,   EN MDF  CON  CUBIERTA  EN FORMICA  O SIMILAR,  CHAPA  DE SEGURIDAD  170 ¼. INCLUYE ASEO GENERAL"/>
    <n v="32.362397780000002"/>
    <s v="METRO CUADRADO"/>
    <n v="450000"/>
    <n v="0"/>
    <n v="14563079.001"/>
    <x v="13"/>
  </r>
  <r>
    <x v="14"/>
    <n v="1627319"/>
    <s v="CONTRATAR EN NOMBRE DE LA NACIÓN, CONSEJO SUPERIOR DE JUDICATURA, DIRECCIÓN EJECUTIVA SECCIONAL DE ADMINISTRACIÓN JUDICIAL DE PASTO, MEDIANTE LA MODALIDAD DE COMPRA VENTA, LA ADQUISICIÓN DE LAVAMANOS PORTÁTILES CON DESTINO A ALGUNAS SEDES JUDICIALES DE LOS DISTRITOS DE PASTO Y MOCOA."/>
    <d v="2020-06-11T00:00:00"/>
    <d v="2020-06-12T00:00:00"/>
    <n v="32534320"/>
    <n v="0"/>
    <s v="PROINCOL JK SAS"/>
    <n v="900990752"/>
    <s v="LAVAMANOS EN ACERO INOXIDABLE ACCION CON PEDAL DOBLE FUNCIONALIDAD, PORTATIL."/>
    <n v="26"/>
    <s v="UNIDAD"/>
    <n v="1251320"/>
    <n v="0"/>
    <n v="32534320"/>
    <x v="9"/>
  </r>
  <r>
    <x v="14"/>
    <s v="O.C. 50509"/>
    <s v="CONTRATAR EN NOMBRE DE LA NACIÓN, CONSEJO SUPERIOR DE JUDICATURA,_x000a_DIRECCIÓN EJECUTIVA SECCIONAL DE ADMINISTRACIÓN JUDICIAL DE PASTO,_x000a_MEDIANTE LA MODALIDAD DE COMPRAVENTA, LA ADQUISICIÓN DE CARETAS_x000a_PLÁSTICAS PARA LOS SERVIDORES JUDICIALES Y ADMINISTRATIVOS DE LOS DISTRITOS_x000a_PASTO Y MOCOA"/>
    <d v="2020-06-16T00:00:00"/>
    <d v="2020-06-16T00:00:00"/>
    <n v="16884432"/>
    <n v="0"/>
    <s v="PLASTICOS FENIX SAS"/>
    <n v="890307682"/>
    <s v="CARETAS VISORES"/>
    <n v="2400"/>
    <s v="UNIDAD"/>
    <n v="7035.18"/>
    <n v="0"/>
    <n v="16884432"/>
    <x v="11"/>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PASTO      "/>
    <n v="3"/>
    <s v="SEDE"/>
    <n v="938000"/>
    <n v="0"/>
    <n v="2814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ALMACEN SECCIONAL  PASTO"/>
    <n v="3"/>
    <s v="SEDE"/>
    <n v="301500"/>
    <n v="0"/>
    <n v="90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 EDIFICIO CHAVES   PASTO"/>
    <n v="3"/>
    <s v="SEDE"/>
    <n v="301500"/>
    <n v="0"/>
    <n v="90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 - EDIFICIO   RIL    PASTO"/>
    <n v="3"/>
    <s v="SEDE"/>
    <n v="301500"/>
    <n v="0"/>
    <n v="90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 EDIFICIO MONTANA   PASTO"/>
    <n v="3"/>
    <s v="SEDE"/>
    <n v="301500"/>
    <n v="0"/>
    <n v="90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PASTO - EDIFICIO GENOVA   PASTO"/>
    <n v="3"/>
    <s v="SEDE"/>
    <n v="301500"/>
    <n v="0"/>
    <n v="90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SEDE JUZGADO 1 DE COMPETENCIAS MULTIPLES PASTO"/>
    <n v="2"/>
    <s v="SEDE"/>
    <n v="201000"/>
    <n v="0"/>
    <n v="402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ARCHIVO JUDICIAL PASTO        "/>
    <n v="3"/>
    <s v="SEDE"/>
    <n v="301500"/>
    <n v="0"/>
    <n v="90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DESINFECCION - DESRATIZACION SEDE JUZGADO PROMISCUO MUNICIPAL  ANCUYA"/>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NSACA"/>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FLORID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YACUANQUER"/>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TABLON DE GOMEZ"/>
    <n v="2"/>
    <s v="SEDE"/>
    <n v="201000"/>
    <n v="0"/>
    <n v="402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TAMINANGO"/>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DON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OLICARPA"/>
    <n v="1"/>
    <s v="SEDE"/>
    <n v="268000"/>
    <n v="0"/>
    <n v="26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ROSARIO"/>
    <n v="1"/>
    <s v="SEDE"/>
    <n v="268000"/>
    <n v="0"/>
    <n v="26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EYVA"/>
    <n v="2"/>
    <s v="SEDE"/>
    <n v="335000"/>
    <n v="0"/>
    <n v="670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NARIÑO"/>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HACHAGUI"/>
    <n v="2"/>
    <s v="SEDE"/>
    <n v="268000"/>
    <n v="0"/>
    <n v="536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TAMBO"/>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PEÑOL"/>
    <n v="1"/>
    <s v="SEDE"/>
    <n v="167500"/>
    <n v="0"/>
    <n v="167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TANGU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BUESACO"/>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IPIALES    "/>
    <n v="3"/>
    <s v="SEDE"/>
    <n v="670000"/>
    <n v="0"/>
    <n v="2010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ALDANA"/>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ERRES"/>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MBAL "/>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MBAL "/>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ILES"/>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ASPUD"/>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PIALES"/>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RDOBA"/>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CHUCAL"/>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OTOSI"/>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LMATAN"/>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FUNES"/>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CONTADERO"/>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LA UNION       "/>
    <n v="2"/>
    <s v="SEDE"/>
    <n v="301500"/>
    <n v="0"/>
    <n v="603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LORENZO"/>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ARBOLEDA"/>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PEDRO DE CARTAGO"/>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donde funcionan Juzgado Promiscuo de Familia,  Juzgado Promiscuo del Circuito,  Juzgados Primero y Segundo Promiscuo Municipal   DE  BARBACOAS"/>
    <n v="2"/>
    <s v="SEDE"/>
    <n v="569500"/>
    <n v="0"/>
    <n v="113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MAGUI PAYAN"/>
    <n v="1"/>
    <s v="SEDE"/>
    <n v="301500"/>
    <n v="0"/>
    <n v="301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ROBERTO PAYAN"/>
    <n v="1"/>
    <s v="SEDE"/>
    <n v="301500"/>
    <n v="0"/>
    <n v="301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donde funcionan Juzgado Promiscuo  del Circuito,  Juzgado Promiscuo Municipal  LA CRUZ"/>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DE FAMILIA LA CRUZ"/>
    <n v="2"/>
    <s v="SEDE"/>
    <n v="167500"/>
    <n v="0"/>
    <n v="335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BELEN"/>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JOSE"/>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PABLO"/>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LON GENOVA"/>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BERNARDO"/>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donde funcionan Juzgado Promiscuo   Juzgado Promiscuo del Circuito,  Juzgados Primero y Segundo Promiscuo Municipal   DE SAMANIEGO"/>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DE FAMILIA SAMANIEGO"/>
    <n v="2"/>
    <s v="SEDE"/>
    <n v="201000"/>
    <n v="0"/>
    <n v="402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MBITARA"/>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INARES"/>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LLANAD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ROVIDENCI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OS ANDES SOTOMAYOR"/>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TUMACO          "/>
    <n v="3"/>
    <s v="SEDE"/>
    <n v="569500"/>
    <n v="0"/>
    <n v="1708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S  DE ADOSLESCENCIA, EJECUCION DE PENAS,  ARCHIVO JUDICIAL  DE TUMACO"/>
    <n v="3"/>
    <s v="SEDE"/>
    <n v="268000"/>
    <n v="0"/>
    <n v="804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CHARCO"/>
    <n v="1"/>
    <s v="SEDE"/>
    <n v="938000"/>
    <n v="0"/>
    <n v="93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MOSQUERA"/>
    <n v="1"/>
    <s v="SEDE"/>
    <n v="938000"/>
    <n v="0"/>
    <n v="93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OLAYA HERRERA"/>
    <n v="1"/>
    <s v="SEDE"/>
    <n v="938000"/>
    <n v="0"/>
    <n v="93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FRANCISCO PIZARRO"/>
    <n v="1"/>
    <s v="SEDE"/>
    <n v="938000"/>
    <n v="0"/>
    <n v="93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TOLA"/>
    <n v="1"/>
    <s v="SEDE"/>
    <n v="938000"/>
    <n v="0"/>
    <n v="93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TA BARBARA"/>
    <n v="1"/>
    <s v="SEDE"/>
    <n v="938000"/>
    <n v="0"/>
    <n v="938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TUQUERRES         "/>
    <n v="1"/>
    <s v="SEDE"/>
    <n v="301500"/>
    <n v="0"/>
    <n v="301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ARCHIVO TUQUERRES           "/>
    <n v="1"/>
    <s v="SEDE"/>
    <n v="234500"/>
    <n v="0"/>
    <n v="234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ITARILL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IMUEZ"/>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IEDRANCH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OSPINA"/>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CHAVEZ"/>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RICAURTE"/>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PUYES"/>
    <n v="1"/>
    <s v="SEDE"/>
    <n v="201000"/>
    <n v="0"/>
    <n v="201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MOCOA      "/>
    <n v="3"/>
    <s v="SEDE"/>
    <n v="670000"/>
    <n v="0"/>
    <n v="2010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EDIFICIO CASTILLO REAL  - BARRIO EL NARANJITO MOCOA"/>
    <n v="3"/>
    <s v="SEDE"/>
    <n v="335000"/>
    <n v="0"/>
    <n v="1005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VILLAGARZON"/>
    <n v="2"/>
    <s v="SEDE"/>
    <n v="201000"/>
    <n v="0"/>
    <n v="402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ERTO GUZMAN"/>
    <n v="1"/>
    <s v="SEDE"/>
    <n v="402000"/>
    <n v="0"/>
    <n v="402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PUERTO ASIS"/>
    <n v="3"/>
    <s v="SEDE"/>
    <n v="402000"/>
    <n v="0"/>
    <n v="1206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HORMIGA"/>
    <n v="2"/>
    <s v="SEDE"/>
    <n v="268000"/>
    <n v="0"/>
    <n v="536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ORITO"/>
    <n v="3"/>
    <s v="SEDE"/>
    <n v="268000"/>
    <n v="0"/>
    <n v="804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ERTO CAICEDO"/>
    <n v="1"/>
    <s v="SEDE"/>
    <n v="301500"/>
    <n v="0"/>
    <n v="301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MIGUEL PUTUMAYO"/>
    <n v="1"/>
    <s v="SEDE"/>
    <n v="301500"/>
    <n v="0"/>
    <n v="301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del Circuito,  Juzgado Promiscuo Municipal y Juzgado Promiscuo de Familia DE SIBUNDOY"/>
    <n v="2"/>
    <s v="SEDE"/>
    <n v="234500"/>
    <n v="0"/>
    <n v="4690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FRANCISCO PUTUMAYO"/>
    <n v="1"/>
    <s v="SEDE"/>
    <n v="167500"/>
    <n v="0"/>
    <n v="167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TIAGO PUTUMAYO"/>
    <n v="1"/>
    <s v="SEDE"/>
    <n v="167500"/>
    <n v="0"/>
    <n v="167500"/>
    <x v="38"/>
  </r>
  <r>
    <x v="14"/>
    <n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LON PUTUMAYO"/>
    <n v="1"/>
    <s v="SEDE"/>
    <n v="167500"/>
    <n v="0"/>
    <n v="167500"/>
    <x v="38"/>
  </r>
  <r>
    <x v="14"/>
    <s v="O.C. 50868"/>
    <s v="CONTRATAR EN NOMBRE DE LA NACIÓN, CONSEJO SUPERIOR DE JUDICATURA, DIRECCIÓN_x000a_EJECUTIVA SECCIONAL DE ADMINISTRACIÓN JUDICIAL DE PASTO LA ADQUISICIÓN MEDIANTE_x000a_LA MODALIDAD DE COMPRAVENTA DE CONTENEDORES DE RESIDUOS, PARA UBICAR EN LAS_x000a_SEDES JUDICIALES DE LOS DISTRITOS JUDICIALES DE PASTO Y MOCOA"/>
    <d v="2020-06-23T00:00:00"/>
    <d v="2020-06-23T00:00:00"/>
    <n v="13923759"/>
    <n v="0"/>
    <s v="CENCOSUD COLOMBIA S.A."/>
    <n v="900155107"/>
    <s v="CANECA 35 LT ROJA TAPA PEDAL"/>
    <n v="250"/>
    <s v="UNIDAD"/>
    <n v="55462"/>
    <n v="233.036"/>
    <n v="13923759"/>
    <x v="15"/>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LA CRUZ"/>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SAMANIEGO"/>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TUMACO"/>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TUQUERRES"/>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IPIALES"/>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BARBACOAS"/>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LA UNIÓN"/>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MOCOA"/>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PUERTO ASÍS"/>
    <n v="2"/>
    <s v="VALOR MENSUAL POR PERSONA"/>
    <n v="2125000"/>
    <n v="0"/>
    <n v="4250000"/>
    <x v="6"/>
  </r>
  <r>
    <x v="14"/>
    <n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SIBUNDOY"/>
    <n v="2"/>
    <s v="VALOR MENSUAL POR PERSONA"/>
    <n v="2125000"/>
    <n v="0"/>
    <n v="4250000"/>
    <x v="6"/>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TAPABOCAS DESECHABLE"/>
    <n v="15000"/>
    <s v="UNIDAD"/>
    <n v="1600"/>
    <n v="0"/>
    <n v="24000000"/>
    <x v="3"/>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TAPABOCAS RESPIRADOR N95"/>
    <n v="200"/>
    <s v="UNIDAD"/>
    <n v="18000"/>
    <n v="0"/>
    <n v="3600000"/>
    <x v="3"/>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GUANTES DE NITRILO CAJA X 100"/>
    <n v="150"/>
    <s v="CAJA X 100"/>
    <n v="35000"/>
    <n v="0"/>
    <n v="5250000"/>
    <x v="10"/>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JABÓN DE MANOS GARRAFA 20 L"/>
    <n v="1000"/>
    <s v="LITRO"/>
    <n v="8000"/>
    <n v="0"/>
    <n v="8000000"/>
    <x v="5"/>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GEL ANTIBACTERIAL PARA MANOS"/>
    <n v="456"/>
    <s v="LITRO"/>
    <n v="26315.789473600002"/>
    <n v="0"/>
    <n v="11999999.999961602"/>
    <x v="4"/>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TOALLAS PARA MANOS DESECHABLES PAQUETE X 50"/>
    <n v="800"/>
    <s v="PAQUETE X 150"/>
    <n v="13000"/>
    <n v="0"/>
    <n v="10400000"/>
    <x v="8"/>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DISPENSADOR DE TOALLAS DE MANOS CAPACIDAD DE 150 TOALLAS"/>
    <n v="37"/>
    <s v="UNIDAD"/>
    <n v="157563"/>
    <n v="29936.97"/>
    <n v="6937498.8899999997"/>
    <x v="12"/>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DISPENSADOR DE JABÓN LIQUIDO ACERO INOXIDABLE"/>
    <n v="50"/>
    <s v="UNIDAD"/>
    <n v="87500"/>
    <n v="16625"/>
    <n v="5206250"/>
    <x v="12"/>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ELEMENTO DE BIOSEGURIDAD TRAJE DE PROTECCIÓN PERSONAL"/>
    <n v="100"/>
    <s v="UNIDAD"/>
    <n v="21000"/>
    <n v="3990"/>
    <n v="2499000"/>
    <x v="0"/>
  </r>
  <r>
    <x v="15"/>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ELEMENTO DE BIOSEGURIDAD GUANTE NITILSAFE VERDE 13&quot; 15Mil T 7"/>
    <n v="100"/>
    <s v="PAR"/>
    <n v="11250"/>
    <n v="2137.5"/>
    <n v="1338750"/>
    <x v="1"/>
  </r>
  <r>
    <x v="15"/>
    <s v="CD-UM-02-2020"/>
    <s v="CONTRATAR EN NOMBRE DE LA NACIÓN – CONSEJO SUPERIOR DE LA JUDICATURA LA ADQUISICIÓN DE ACCESORIOS TECNOLÓGICOS DE APOYO, PARA LA REALIZACIÓN DE AUDIENCIAS VIRTUALES, MEDIDAS DE PREVENCIÓN Y AISLAMIENTO SOCIAL, PARA PREVENIR EL CONTAGIO DEL VIRUS COVID19 EN EL DISTRITO JUDICIAL DE PEREIRA."/>
    <d v="2020-03-25T00:00:00"/>
    <d v="2020-03-31T00:00:00"/>
    <n v="55131040"/>
    <n v="0"/>
    <s v="LA COMPUTIENDA SAS"/>
    <n v="900885138"/>
    <s v="CÁMARA WEB"/>
    <n v="235"/>
    <s v="UNIDAD"/>
    <n v="171600"/>
    <n v="0"/>
    <n v="40326000"/>
    <x v="31"/>
  </r>
  <r>
    <x v="15"/>
    <s v="CD-UM-02-2020"/>
    <s v="CONTRATAR EN NOMBRE DE LA NACIÓN – CONSEJO SUPERIOR DE LA JUDICATURA LA ADQUISICIÓN DE ACCESORIOS TECNOLÓGICOS DE APOYO, PARA LA REALIZACIÓN DE AUDIENCIAS VIRTUALES, MEDIDAS DE PREVENCIÓN Y AISLAMIENTO SOCIAL, PARA PREVENIR EL CONTAGIO DEL VIRUS COVID19 EN EL DISTRITO JUDICIAL DE PEREIRA."/>
    <d v="2020-03-25T00:00:00"/>
    <d v="2020-03-31T00:00:00"/>
    <n v="55131040"/>
    <n v="0"/>
    <s v="LA COMPUTIENDA SAS"/>
    <n v="900885138"/>
    <s v="DIADEMA"/>
    <n v="235"/>
    <s v="UNIDAD"/>
    <n v="63000"/>
    <n v="0"/>
    <n v="14805000"/>
    <x v="32"/>
  </r>
  <r>
    <x v="16"/>
    <s v="´19"/>
    <s v="CONTRATAR A NOMBRE DE LA NACION - CONSEJO SUPERIOR DE LA JUDICATURA - DIRECCION SECCIONAL DE ADMINISTRACION JUDICIAL DE POPAYAN, LA PRESTACION DE SERVICIOS DE PERSONAL DE APOYO PARA EL FORTALECIMIENTO DE LAS MEDIDAS DE PREVENCION DEL CONTAGIO Y LA PROPAGACION DEL COVID - 19, ENCARGADOS DE LA TOMA DE TEMPERATURA CORPORAL, VERIFICACION DE SINTOMAS, ADEMAS DE VELAR POR EL CUMPLIMIENTO DE LOS PROTOCOLOS DE BIOSEGURIDAD DEFINIDOS POR LA ENTIDAD, EN LAS SEDES DE MAYOR INFLUENCIA EN EL DISTRITO JUDICIAL DE POPAYAN."/>
    <d v="2020-06-12T00:00:00"/>
    <d v="2020-06-17T00:00:00"/>
    <n v="32430000"/>
    <n v="0"/>
    <s v="CRUZ ROJA COLOMBIANA SECCIONAL CAUCA"/>
    <n v="891500595"/>
    <s v="CONTRATACION DE PERSONAL DE APOYO PARA LA PREVENCION DEL CONTAGIO Y LA PROPAGACION DEL COVID-19"/>
    <n v="15"/>
    <s v="VALOR MENSUAL POR PERSONA"/>
    <n v="2162000"/>
    <n v="0"/>
    <n v="32430000"/>
    <x v="6"/>
  </r>
  <r>
    <x v="16"/>
    <s v="´20"/>
    <s v="CONTRATAR A NOMBRE DE LA NACION - CONSEJO SUPERIOR DE LA JUDICATURA - DIRECCION SECCIONAL DE ADMINISTRACION JUDICIAL DE POPAYAN, LA ADQUISICION  DE DIADEMAS Y CAMARAS WEB PARA LOS DESPACHOS JUDICIALES Y TRIBUNALES DEL DISTRITO JUDICIAL DE POPAYAN."/>
    <d v="2020-06-12T00:00:00"/>
    <d v="2020-06-12T00:00:00"/>
    <n v="45932000"/>
    <n v="0"/>
    <s v="JOSE ARLES CAMACHO VIVEROS"/>
    <n v="1083893865"/>
    <s v="DIADEMAS INHALAMBRICA VIDVIE"/>
    <n v="119"/>
    <s v="UNIDAD"/>
    <n v="124369.74789915967"/>
    <n v="23630.252100840338"/>
    <n v="17612000"/>
    <x v="32"/>
  </r>
  <r>
    <x v="16"/>
    <s v="´20"/>
    <s v="CONTRATAR A NOMBRE DE LA NACION - CONSEJO SUPERIOR DE LA JUDICATURA - DIRECCION SECCIONAL DE ADMINISTRACION JUDICIAL DE POPAYAN, LA ADQUISICION  DE DIADEMAS Y CAMARAS WEB PARA LOS DESPACHOS JUDICIALES Y TRIBUNALES DEL DISTRITO JUDICIAL DE POPAYAN."/>
    <d v="2020-06-12T00:00:00"/>
    <d v="2020-06-12T00:00:00"/>
    <n v="45932000"/>
    <n v="0"/>
    <s v="JOSE ARLES CAMACHO VIVEROS"/>
    <n v="1083893865"/>
    <s v="WEB CAM HD1080 P"/>
    <n v="118"/>
    <s v="UNIDAD"/>
    <n v="201680.67226890757"/>
    <n v="38319.327731092439"/>
    <n v="28320000"/>
    <x v="31"/>
  </r>
  <r>
    <x v="16"/>
    <s v="´21"/>
    <s v="CONTRATAR EN NOMBRE DE LA NACIÓN – CONSEJO SUPERIOR DE LA JUDICATURA – DIRECCIÓN EJECUTIVA SECCIONAL DE ADMINISTRACIÓN JUDICIAL DE POPAYÁN, LA ADQUISICIÓN O COMPRA DE OCHENTA (80) TAPETES DESINFECTANTES DE SUELAS DE ZAPATOS PARA DE LIMPIEZA Y/O DESINFECCIÓN Y OCHENTA (80) GALONES DE AMONIO CUATERNARIO QUE AYUDE A MITIGAR LA TRANSMISIÓN DE AGENTES INFECCIOSOS Y DE DISMINUIR LA PROBABILIDAD DE CONTAMINACIÓN CRUZADA, CON EL FIN DE FORTALECER LAS MEDIDAS DE PREVENCIÓN DEL CONTAGIO Y DE LA PROPAGACIÓN DEL COVID -19, CON LO QUE ADEMÁS SE PROPENDE POR EL CUMPLIMIENTO DE LOS PROTOCOLOS DE BIOSEGURIDAD DEFINIDOS POR LA ENTIDAD, EN LAS SEDES JUDICIALES."/>
    <d v="2020-06-23T00:00:00"/>
    <d v="2020-06-23T00:00:00"/>
    <n v="7000000"/>
    <n v="0"/>
    <s v="OCUPA SOLUCIONES S.A.S"/>
    <n v="800165853"/>
    <s v="TAPETE DESINFECTANTE"/>
    <n v="80"/>
    <s v="UNIDAD"/>
    <n v="40500"/>
    <n v="0"/>
    <n v="3240000"/>
    <x v="33"/>
  </r>
  <r>
    <x v="16"/>
    <s v="´21"/>
    <s v="CONTRATAR EN NOMBRE DE LA NACIÓN – CONSEJO SUPERIOR DE LA JUDICATURA – DIRECCIÓN EJECUTIVA SECCIONAL DE ADMINISTRACIÓN JUDICIAL DE POPAYÁN, LA ADQUISICIÓN O COMPRA DE OCHENTA (80) TAPETES DESINFECTANTES DE SUELAS DE ZAPATOS PARA DE LIMPIEZA Y/O DESINFECCIÓN Y OCHENTA (80) GALONES DE AMONIO CUATERNARIO QUE AYUDE A MITIGAR LA TRANSMISIÓN DE AGENTES INFECCIOSOS Y DE DISMINUIR LA PROBABILIDAD DE CONTAMINACIÓN CRUZADA, CON EL FIN DE FORTALECER LAS MEDIDAS DE PREVENCIÓN DEL CONTAGIO Y DE LA PROPAGACIÓN DEL COVID -19, CON LO QUE ADEMÁS SE PROPENDE POR EL CUMPLIMIENTO DE LOS PROTOCOLOS DE BIOSEGURIDAD DEFINIDOS POR LA ENTIDAD, EN LAS SEDES JUDICIALES."/>
    <d v="2020-06-23T00:00:00"/>
    <d v="2020-06-23T00:00:00"/>
    <n v="7000000"/>
    <n v="0"/>
    <s v="OCUPA SOLUCIONES S.A.S"/>
    <n v="800165853"/>
    <s v="AMONIO CUATERNARIO"/>
    <n v="800"/>
    <s v="LITRO"/>
    <n v="4700"/>
    <n v="0"/>
    <n v="3760000"/>
    <x v="46"/>
  </r>
  <r>
    <x v="16"/>
    <s v="´22"/>
    <s v="CONTRATAR EN NOMBRE DE LA NACIÓN – CONSEJO SUPERIOR DE LA JUDICATURA – DIRECCIÓN EJECUTIVA SECCIONAL DE ADMINISTRACIÓN JUDICIAL DE POPAYÁN, LA ADQUISICIÓN O COMPRA DE DOSCIENTAS (200) DIVISIONES METÁLICAS CON ACRÍLICO TRASLUCIDO CON EXCELENTES ACABADOS CON EL PROPÓSITO DE FACILITAR EL AISLAMIENTO DE LOS USUARIOS DE LA JUSTICIA Y LOS SERVIDORES JUDICIALES, QUE AYUDE A DISMINUIR LA PROBABILIDAD DE CONTAMINACIÓN Y DE CREAR UNA BARRERA DE PROTECCIÓN PARA QUIENES ATIENDEN PÚBLICO."/>
    <d v="2020-06-23T00:00:00"/>
    <d v="2020-06-23T00:00:00"/>
    <n v="32130000"/>
    <n v="0"/>
    <s v="JOHN ALEJANDRO FRANCO OTERO"/>
    <n v="79391917"/>
    <s v="DIVISION METALICA CON ACRILICO TRASLUCIDA"/>
    <n v="200"/>
    <s v="UNIDAD"/>
    <n v="135000"/>
    <n v="25650"/>
    <n v="32130000"/>
    <x v="13"/>
  </r>
  <r>
    <x v="16"/>
    <s v="´23"/>
    <s v="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
    <d v="2020-06-19T00:00:00"/>
    <d v="2020-06-19T00:00:00"/>
    <n v="1515800"/>
    <n v="0"/>
    <s v="BAYRON MARCELO AREVALO MUÑOZ"/>
    <n v="76318532"/>
    <s v="TABLOIDE PROPALCOTE DE 320 GR.FULL COLOR DE 33CMS X 47CM 332"/>
    <n v="332"/>
    <s v="UNIDAD"/>
    <n v="1400"/>
    <n v="0"/>
    <n v="464800"/>
    <x v="30"/>
  </r>
  <r>
    <x v="16"/>
    <s v="´23"/>
    <s v="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
    <d v="2020-06-19T00:00:00"/>
    <d v="2020-06-19T00:00:00"/>
    <n v="1515800"/>
    <n v="0"/>
    <s v="BAYRON MARCELO AREVALO MUÑOZ"/>
    <n v="76318532"/>
    <s v="VINILOS ADHESIVOS FULL IMPRESIÓN 21CMX16CM 106"/>
    <n v="106"/>
    <s v="UNIDAD"/>
    <n v="1896.2264150943399"/>
    <n v="0"/>
    <n v="201000.00000000003"/>
    <x v="30"/>
  </r>
  <r>
    <x v="16"/>
    <s v="´23"/>
    <s v="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
    <d v="2020-06-19T00:00:00"/>
    <d v="2020-06-19T00:00:00"/>
    <n v="1515800"/>
    <n v="0"/>
    <s v="BAYRON MARCELO AREVALO MUÑOZ"/>
    <n v="76318532"/>
    <s v="VINILO ADHESIVO CON PROTECCIÓN EN FLOORGRAPHIC MEDIDAS 5CMS X 47CMS 500"/>
    <n v="500"/>
    <s v="UNIDAD"/>
    <n v="1700"/>
    <n v="0"/>
    <n v="850000"/>
    <x v="30"/>
  </r>
  <r>
    <x v="16"/>
    <s v="´01"/>
    <s v="CONTRATAR LA ADQUISICIÓN DE ELEMENTOS PARA LA PREVENCIÓN DE LA PROPAGACIÓN DEL VIRUS COVID-19."/>
    <d v="2020-03-27T00:00:00"/>
    <d v="2020-03-20T00:00:00"/>
    <n v="1911550"/>
    <n v="0"/>
    <s v="INFOSUR LTDA"/>
    <n v="12109146"/>
    <s v="JABON LIQUIDO MANOS ANT 3785 X GALON"/>
    <n v="36"/>
    <s v="LITRO"/>
    <n v="6638.6554621848745"/>
    <n v="1261.3445378151262"/>
    <n v="284400.00000000006"/>
    <x v="5"/>
  </r>
  <r>
    <x v="16"/>
    <s v="´01"/>
    <s v="CONTRATAR LA ADQUISICIÓN DE ELEMENTOS PARA LA PREVENCIÓN DE LA PROPAGACIÓN DEL VIRUS COVID-19."/>
    <d v="2020-03-27T00:00:00"/>
    <d v="2020-03-20T00:00:00"/>
    <n v="1911550"/>
    <n v="0"/>
    <s v="INFOSUR LTDA"/>
    <n v="12109146"/>
    <s v="DISPENSADOR PARA JABON DE MANOS"/>
    <n v="3"/>
    <s v="UNIDAD"/>
    <n v="62899.159663865546"/>
    <n v="11950.840336134454"/>
    <n v="224550"/>
    <x v="12"/>
  </r>
  <r>
    <x v="16"/>
    <s v="´01"/>
    <s v="CONTRATAR LA ADQUISICIÓN DE ELEMENTOS PARA LA PREVENCIÓN DE LA PROPAGACIÓN DEL VIRUS COVID-19."/>
    <d v="2020-03-27T00:00:00"/>
    <d v="2020-03-20T00:00:00"/>
    <n v="1911550"/>
    <n v="0"/>
    <s v="INFOSUR LTDA"/>
    <n v="12109146"/>
    <s v="JABON ESPUMA GOLO 1,25 LT"/>
    <n v="3"/>
    <s v="LITRO"/>
    <n v="41176.470588235294"/>
    <n v="7823.5294117647063"/>
    <n v="147000"/>
    <x v="5"/>
  </r>
  <r>
    <x v="16"/>
    <s v="´01"/>
    <s v="CONTRATAR LA ADQUISICIÓN DE ELEMENTOS PARA LA PREVENCIÓN DE LA PROPAGACIÓN DEL VIRUS COVID-19."/>
    <d v="2020-03-27T00:00:00"/>
    <d v="2020-03-20T00:00:00"/>
    <n v="1911550"/>
    <n v="0"/>
    <s v="INFOSUR LTDA"/>
    <n v="12109146"/>
    <s v="GUANTES PROTEX LATEX EXAMEN T/M100"/>
    <n v="50"/>
    <s v="CAJA X 100"/>
    <n v="15966.6"/>
    <n v="3033.654"/>
    <n v="950012.70000000007"/>
    <x v="18"/>
  </r>
  <r>
    <x v="16"/>
    <s v="´01"/>
    <s v="CONTRATAR LA ADQUISICIÓN DE ELEMENTOS PARA LA PREVENCIÓN DE LA PROPAGACIÓN DEL VIRUS COVID-19."/>
    <d v="2020-03-27T00:00:00"/>
    <d v="2020-03-20T00:00:00"/>
    <n v="1911550"/>
    <n v="0"/>
    <s v="INFOSUR LTDA"/>
    <n v="12109146"/>
    <s v="GUANTES PROTEX LATEX EXAMEN T/L"/>
    <n v="10"/>
    <s v="CAJA X 100"/>
    <n v="15966.6"/>
    <n v="3033.654"/>
    <n v="190002.54"/>
    <x v="18"/>
  </r>
  <r>
    <x v="16"/>
    <s v="´01"/>
    <s v="CONTRATAR LA ADQUISICIÓN DE ELEMENTOS PARA LA PREVENCIÓN DE LA PROPAGACIÓN DEL VIRUS COVID-19."/>
    <d v="2020-03-27T00:00:00"/>
    <d v="2020-03-20T00:00:00"/>
    <n v="1911550"/>
    <n v="0"/>
    <s v="INFOSUR LTDA"/>
    <n v="12109146"/>
    <s v="JABON BACTISAN SCOTT SPRAY X 400 ML"/>
    <n v="8"/>
    <s v="LITRO"/>
    <n v="12142.85714285715"/>
    <n v="2307.1428571428587"/>
    <n v="115600.00000000007"/>
    <x v="5"/>
  </r>
  <r>
    <x v="16"/>
    <s v="´02"/>
    <s v="CONTRATAR LA ADQUISICIÓN DE ELEMENTOS PARA LA PREVENCIÓN DE LA PROPAGACIÓN DEL VIRUS COVID-19 (TAPABOCAS Y GUANTES)"/>
    <d v="2020-03-27T00:00:00"/>
    <d v="2020-03-27T00:00:00"/>
    <n v="1832949"/>
    <n v="0"/>
    <s v="GRUPO UNIVERSALES PROVEEDORES INTEGRALES S.A.S."/>
    <n v="815004985"/>
    <s v="GUANTES LATEX C X 100 UND T XS"/>
    <n v="21"/>
    <s v="CAJA X 100"/>
    <n v="20276"/>
    <n v="0"/>
    <n v="425796"/>
    <x v="18"/>
  </r>
  <r>
    <x v="16"/>
    <s v="´02"/>
    <s v="CONTRATAR LA ADQUISICIÓN DE ELEMENTOS PARA LA PREVENCIÓN DE LA PROPAGACIÓN DEL VIRUS COVID-19 (TAPABOCAS Y GUANTES)"/>
    <d v="2020-03-27T00:00:00"/>
    <d v="2020-03-27T00:00:00"/>
    <n v="1832949"/>
    <n v="0"/>
    <s v="GRUPO UNIVERSALES PROVEEDORES INTEGRALES S.A.S."/>
    <n v="815004985"/>
    <s v="GUANTES LATEX C X 100 UND T S"/>
    <n v="19"/>
    <s v="CAJA X 100"/>
    <n v="20276"/>
    <n v="0"/>
    <n v="385244"/>
    <x v="18"/>
  </r>
  <r>
    <x v="16"/>
    <s v="´02"/>
    <s v="CONTRATAR LA ADQUISICIÓN DE ELEMENTOS PARA LA PREVENCIÓN DE LA PROPAGACIÓN DEL VIRUS COVID-19 (TAPABOCAS Y GUANTES)"/>
    <d v="2020-03-27T00:00:00"/>
    <d v="2020-03-27T00:00:00"/>
    <n v="1832949"/>
    <n v="0"/>
    <s v="GRUPO UNIVERSALES PROVEEDORES INTEGRALES S.A.S."/>
    <n v="815004985"/>
    <s v="TAPABOCA DESECHABLE RESORTADO"/>
    <n v="1000"/>
    <s v="UNIDAD"/>
    <n v="1021.901"/>
    <n v="0"/>
    <n v="1021901"/>
    <x v="3"/>
  </r>
  <r>
    <x v="16"/>
    <s v="´04"/>
    <s v="CONTRATAR LA ADQUISICIÓN DE ELEMENTOS PARA LA PREVENCIÓN DE LA PROPAGACIÓN DEL VIRUS COVID-19 GEL ANTIBACTERIAL"/>
    <d v="2020-04-02T00:00:00"/>
    <d v="2020-04-03T00:00:00"/>
    <n v="3441440"/>
    <n v="0"/>
    <s v="GRUPO UNIVERSALES PROVEEDORES INTEGRALES S.A.S."/>
    <n v="815004985"/>
    <s v="GEL ANTIBACTERIAL "/>
    <n v="80"/>
    <s v="LITRO"/>
    <n v="43018"/>
    <m/>
    <n v="3441440"/>
    <x v="4"/>
  </r>
  <r>
    <x v="16"/>
    <s v="´05"/>
    <s v="CONTRATAR LA ADQUISICIÓN DE ELEMENTOS PARA LA PREVENCIÓN DE LA PROPAGACIÓN DEL VIRUS COVID-19 (TAPABOCAS Y GUANTES)"/>
    <d v="2020-04-03T00:00:00"/>
    <d v="2020-04-04T00:00:00"/>
    <n v="3050000"/>
    <n v="0"/>
    <s v="GRUPO EMPRESARIAL VID S.A.S."/>
    <n v="901285199"/>
    <s v="TRAJE TIPO TYBEK BLANCO"/>
    <n v="100"/>
    <s v="UNIDAD"/>
    <n v="15126"/>
    <n v="2873.94"/>
    <n v="1799993.9999999998"/>
    <x v="0"/>
  </r>
  <r>
    <x v="16"/>
    <s v="´05"/>
    <s v="CONTRATAR LA ADQUISICIÓN DE ELEMENTOS PARA LA PREVENCIÓN DE LA PROPAGACIÓN DEL VIRUS COVID-19 (TAPABOCAS Y GUANTES)"/>
    <d v="2020-04-03T00:00:00"/>
    <d v="2020-04-04T00:00:00"/>
    <n v="3050000"/>
    <n v="0"/>
    <s v="GRUPO EMPRESARIAL VID S.A.S."/>
    <n v="901285199"/>
    <s v="GAFA CLARA SENCILLA"/>
    <n v="100"/>
    <s v="UNIDAD"/>
    <n v="10504"/>
    <n v="1995.76"/>
    <n v="1249976"/>
    <x v="35"/>
  </r>
  <r>
    <x v="16"/>
    <s v="O.C. 46250"/>
    <s v="ESTUDIOS Y DOCUMENTOS PREVIOS PARA LA ADQUISICIÓN DE TOALLAS DE PAPEL PARA MANOS, CON DESTINO A LOS FUNCIONARIOS Y EMPLEADOS DE LAS CORPORACIONES Y DESPACHOS JUDICIALES DEL DEPARTAMENTO DEL CAUCA, EN ATENCIÓN Y APLICACIÓN DE LOS LINEAMIENTOS EMITIDOS POR EL MINISTERIO DE TRABAJO EN LA CIRCULAR NO. 0017 DE FECHA 24 DE FEBRERO DE 2020 – COVID-19."/>
    <d v="2020-03-27T00:00:00"/>
    <d v="2020-03-27T00:00:00"/>
    <n v="4307800"/>
    <n v="0"/>
    <s v="PANAMERICANA LIBRERÍA Y PAPELERIA"/>
    <n v="830037946"/>
    <s v="TOALLA PARA MANOS NATURAL X 100 MT"/>
    <n v="200"/>
    <s v="ROLLO X 100 MTS"/>
    <n v="21539"/>
    <n v="0"/>
    <n v="4307800"/>
    <x v="8"/>
  </r>
  <r>
    <x v="16"/>
    <s v="´06"/>
    <s v="CONTRATAR LA ADQUISICIÓN DE ELEMENTOS PARA LA PREVENCIÓN DE LA PROPAGACIÓN DEL VIRUS COVID-19 (GEL ANTIBACTERIAL Y GUANTES)"/>
    <d v="2020-04-20T00:00:00"/>
    <d v="2020-04-21T00:00:00"/>
    <n v="7770000"/>
    <n v="0"/>
    <s v="GRUPO EMPRESARIAL VID S.A.S."/>
    <n v="901285199"/>
    <s v="GEL 1L"/>
    <n v="400"/>
    <s v="LITRO"/>
    <n v="18000"/>
    <n v="0"/>
    <n v="7200000"/>
    <x v="4"/>
  </r>
  <r>
    <x v="16"/>
    <s v="´06"/>
    <s v="CONTRATAR LA ADQUISICIÓN DE ELEMENTOS PARA LA PREVENCIÓN DE LA PROPAGACIÓN DEL VIRUS COVID-19 (GEL ANTIBACTERIAL Y GUANTES)"/>
    <d v="2020-04-20T00:00:00"/>
    <d v="2020-04-21T00:00:00"/>
    <n v="7770000"/>
    <n v="0"/>
    <s v="GRUPO EMPRESARIAL VID S.A.S."/>
    <n v="901285199"/>
    <s v="CAJA DE GUANTES LATEX X 100 UND"/>
    <n v="30"/>
    <s v="CAJA X 100"/>
    <n v="19000"/>
    <n v="0"/>
    <n v="570000"/>
    <x v="18"/>
  </r>
  <r>
    <x v="16"/>
    <s v="´07"/>
    <s v="CONTRATAR LA ADQUISICIÓN DE ELEMENTOS PARA LA PREVENCIÓN DE LA PROPAGACIÓN DEL VIRUS COVID-19 (TAPABOCAS)"/>
    <d v="2020-04-23T00:00:00"/>
    <d v="2020-04-24T00:00:00"/>
    <n v="2000000"/>
    <n v="0"/>
    <s v="GRUPO UNIVERSALES PROVEEDORES INTEGRALES S.A.S."/>
    <n v="815004985"/>
    <s v="TAPABOCAS DESECHABLES UNIVERSALES"/>
    <n v="2000"/>
    <s v="UNIDAD"/>
    <n v="1000"/>
    <n v="0"/>
    <n v="2000000"/>
    <x v="3"/>
  </r>
  <r>
    <x v="16"/>
    <s v="´13"/>
    <s v="CONTRATAR LA ADQUISICIÓN DE ELEMENTOS PARA LA PREVENCIÓN DE LA PROPAGACIÓN DEL VIRUS COVID-19. (TAPABOCAS OXINDUSTRIAL)"/>
    <d v="2020-05-18T00:00:00"/>
    <d v="2020-04-21T00:00:00"/>
    <n v="2682000"/>
    <n v="0"/>
    <s v="GRUPO EMPRESARIAL VID S.A.S"/>
    <n v="901285199"/>
    <s v="RESPIRADOR DE TELA ECONOMICO NEGRO /AZUL/BLANCO"/>
    <n v="1490"/>
    <s v="UNIDAD"/>
    <n v="1800"/>
    <n v="0"/>
    <n v="2682000"/>
    <x v="3"/>
  </r>
  <r>
    <x v="16"/>
    <s v="´15"/>
    <s v="REPARACION DEL SISTEMA DE BOMBEO DE AGUA Y EL MANTENIMIENTO DE ALGUNOS APARATOS SANITARIOS EN EL PALACIO DE JUSTICIA DEL DORDO CAUCA, A TODO COSTO"/>
    <d v="2020-05-20T00:00:00"/>
    <d v="2020-04-24T00:00:00"/>
    <n v="4086300"/>
    <n v="0"/>
    <s v="HERNAN OBANDO"/>
    <n v="76264578"/>
    <s v="REPARACIÓN  DEL  SISTEMA  DE  BOMBEO  DE  AGUA  Y  EL MANTENIMIENTODE ALGUNOS APARATOS SANITARIOS EN EL PALACIO DE JUSTICIA DE EL BORDO"/>
    <n v="1"/>
    <s v="UNIDAD"/>
    <n v="4086300"/>
    <n v="0"/>
    <n v="4086300"/>
    <x v="19"/>
  </r>
  <r>
    <x v="16"/>
    <n v="48786"/>
    <s v="CONTRATAR LA ADQUISICIÓN DE ELEMENTOS DE PROTECCIÓN PERSONAL PARA LA PREVENCIÓN DE LA PROPAGACIÓN DEL VIRUS COVID 19 - TAPABOCAS DOBLETELA REUTILIZABLES."/>
    <d v="2020-05-19T00:00:00"/>
    <d v="2020-05-19T00:00:00"/>
    <n v="8900000"/>
    <n v="3800000"/>
    <s v="M.A.S EMPRESARIAL SM S.A.S"/>
    <n v="900401081"/>
    <s v="TAPABOCAS DOBLETELA REUTILIZABLES"/>
    <n v="12700"/>
    <s v="UNIDAD"/>
    <n v="1000"/>
    <n v="0"/>
    <n v="12700000"/>
    <x v="3"/>
  </r>
  <r>
    <x v="16"/>
    <n v="48800"/>
    <s v="CONTRATAR LA ADQUISICIÓN DE ELEMENTOS DE PROTECCIÓN PERSONAL PARA LA PREVENCIÓN DE LA PROPAGACIÓN DEL VIRUS COVID 19. GUANTES DE NITRILO"/>
    <d v="2020-05-20T00:00:00"/>
    <d v="2020-05-20T00:00:00"/>
    <n v="11737650"/>
    <n v="0"/>
    <s v="OFIBEST SAS"/>
    <n v="900350133"/>
    <s v="GUANTES DE NITRILO"/>
    <n v="199"/>
    <s v="CAJA X 100"/>
    <n v="58983.165829145699"/>
    <n v="0"/>
    <n v="11737649.999999994"/>
    <x v="10"/>
  </r>
  <r>
    <x v="16"/>
    <n v="49008"/>
    <s v="CONTRATAR LA ADQUISICIÓN DE ELEMENTOS DE PROTECCIÓN PERSONAL PARA LA PREVENCIÓN DE LA PROPAGACIÓN DEL VIRUS COVID 19. JABON PARA MANOS"/>
    <d v="2020-05-22T00:00:00"/>
    <d v="2020-05-22T00:00:00"/>
    <n v="4484000"/>
    <n v="0"/>
    <s v="INDUHOTEL SAS"/>
    <n v="900300970"/>
    <s v="JABON LIQUIDO PARA MANOS"/>
    <n v="318"/>
    <s v="LITRO"/>
    <n v="14100.6289308176"/>
    <n v="0"/>
    <n v="4483999.9999999972"/>
    <x v="5"/>
  </r>
  <r>
    <x v="16"/>
    <n v="49046"/>
    <s v="CONTRATAR LA ADQUISICIÓN DE ELEMENTOS DE PROTECCIÓN PERSONAL PARA LA PREVENCIÓN DE LA PROPAGACIÓN DEL VIRUS COVID 19 (GEL ANTIBACTERIAL)."/>
    <d v="2020-05-22T00:00:00"/>
    <d v="2020-05-22T00:00:00"/>
    <n v="4502668"/>
    <n v="0"/>
    <s v="TENSOACTIVOS SG SAS"/>
    <n v="805023817"/>
    <s v="GEL ANTIBACTERIAL"/>
    <n v="320"/>
    <s v="LITRO"/>
    <n v="14070.8375"/>
    <n v="0"/>
    <n v="4502668"/>
    <x v="4"/>
  </r>
  <r>
    <x v="16"/>
    <n v="49009"/>
    <s v="CONTRATAR LA ADQUISICIÓN DE ELEMENTOS DE PROTECCIÓN PERSONAL PARA LA PREVENCIÓN DE LA PROPAGACIÓN DEL VIRUS COVID 19 (TOALLAS PARA MANOS)."/>
    <d v="2020-05-22T00:00:00"/>
    <d v="2020-05-22T00:00:00"/>
    <n v="15534230"/>
    <n v="0"/>
    <s v="PMI PROYECTOS MONTAJES E INGENIERIA"/>
    <n v="900704052"/>
    <s v="TOALLAS PARA MANOS"/>
    <n v="3065"/>
    <s v="PAQUETE X 150"/>
    <n v="5068.2642740619904"/>
    <n v="0"/>
    <n v="15534230"/>
    <x v="8"/>
  </r>
  <r>
    <x v="16"/>
    <n v="49355"/>
    <s v="ADQUISICIÓN DE ELEMENTOS DE PROTECCIÓN PERSONAL PARA LA PREVENCIÓN DE LA PROPAGACIÓN DEL VIRUS COVID 19 - TERMOMETROS DIGITALES"/>
    <d v="2020-05-28T00:00:00"/>
    <d v="2020-05-28T00:00:00"/>
    <n v="11500000"/>
    <n v="0"/>
    <s v="FALABELLA DE COLOMBIA S.A."/>
    <n v="900017447"/>
    <s v="TERMOMETROS DIGITALES INFRARROJO UNIDAD"/>
    <n v="20"/>
    <s v="UNIDAD"/>
    <n v="575000"/>
    <n v="0"/>
    <n v="11500000"/>
    <x v="21"/>
  </r>
  <r>
    <x v="16"/>
    <n v="49450"/>
    <s v="CONTRATAR LA ADQUISICIÓN DE ELEMENTOS DE PROTECCIÓN PERSONAL PARA LA PREVENCIÓN PROPAGACIÓN DEL VIRUS COVID 19 - DISPENSADORES DE GEL"/>
    <d v="2020-05-29T00:00:00"/>
    <d v="2020-05-29T00:00:00"/>
    <n v="10400000"/>
    <n v="0"/>
    <s v="CENCOSUD COLOMBIA S.A."/>
    <n v="900155107"/>
    <s v="DISPENSADORES DE GEL"/>
    <n v="80"/>
    <s v="UNIDAD"/>
    <n v="130000"/>
    <n v="0"/>
    <n v="10400000"/>
    <x v="12"/>
  </r>
  <r>
    <x v="16"/>
    <n v="49645"/>
    <s v="Contratar la adquisición de Elementos de protección COVID-19 (Monogafas) a través de la Tienda Virtual del Estado Colombiano"/>
    <d v="2020-06-02T00:00:00"/>
    <d v="2020-06-02T00:00:00"/>
    <n v="8195650"/>
    <n v="0"/>
    <s v="CENCOSUD COLOMBIA S.A."/>
    <n v="900155107"/>
    <s v="MONOGAFAS"/>
    <n v="950"/>
    <s v="UNIDAD"/>
    <n v="8627"/>
    <n v="0"/>
    <n v="8195650"/>
    <x v="2"/>
  </r>
  <r>
    <x v="16"/>
    <n v="49646"/>
    <s v="Contratar a través de la Tienda Virtual del Estado Colombianos, la adquisición de lavamanos portátiles"/>
    <d v="2020-06-02T00:00:00"/>
    <d v="2020-06-02T00:00:00"/>
    <n v="7696200"/>
    <n v="0"/>
    <s v="CENCOSUD COLOMBIA S.A."/>
    <n v="900155107"/>
    <s v="LAVAMANOS PORTATILES"/>
    <n v="3"/>
    <s v="UNIDAD"/>
    <n v="2565400"/>
    <n v="0"/>
    <n v="7696200"/>
    <x v="9"/>
  </r>
  <r>
    <x v="16"/>
    <n v="50705"/>
    <s v="CONTRATAR LA ADQUISICIÓN DE ELEMENTOS DE PROTECCIÓN PERSONAL PARA LA PREVENCIÓN DE LA PROPAGACIÓN DEL VIRUS COVID 19 CON RECURSOS DE INVERSIÓN ASIGNADOS MEDIANTE ACUERDO PCSJA20-11564 DEL 04 DE JUNIO DE 2020 (TAPABOCAS DOBLE TELA LAVABLE)."/>
    <d v="2020-06-18T00:00:00"/>
    <d v="2020-06-18T00:00:00"/>
    <n v="49500001"/>
    <n v="0"/>
    <s v="M.A.S EMPRESARIAL SM S.A.S"/>
    <n v="900401081"/>
    <s v="TAPABOCAS DOBLETELA REUTILIZABLES"/>
    <n v="50000"/>
    <s v="UNIDAD"/>
    <n v="990.00001999999995"/>
    <n v="0"/>
    <n v="49500001"/>
    <x v="3"/>
  </r>
  <r>
    <x v="16"/>
    <n v="50897"/>
    <s v="Proceso de contratación de compra de ELEMENTOS DE PROTECCION PERSONAL PARA LA PREVENCIÓN DEL COVID-19 - CARETAS. En cumplimiento de nuestro plan de compras y del Protocolo de acceso a sedes - Medidas complementarias para prevención del contagio del COVID-19 en los servidores judiciales, contratistas de prestación de servicios y judicantes."/>
    <d v="2020-06-23T00:00:00"/>
    <d v="2020-06-23T00:00:00"/>
    <n v="1100000"/>
    <n v="0"/>
    <s v="PANAMERICANA LIBRERÍA Y PAPELERÍA S.A."/>
    <n v="830037946"/>
    <s v="CARETAS"/>
    <n v="100"/>
    <s v="UNIDAD"/>
    <n v="11000"/>
    <n v="0"/>
    <n v="1100000"/>
    <x v="11"/>
  </r>
  <r>
    <x v="16"/>
    <n v="50981"/>
    <s v="Contratar el suministro de ELEMENTOS DE PROTECCION PERSONAL PARA LA PREVENCIÓN DEL COVID-19 - Alcohol glicerinado en cumplimiento de nuestro plan de compras y del Protocolo de acceso a sedes - Medidas complementarias para prevención del contagio del COVID-19 en los servidores judiciales, contratistas de prestación de servicios y judicantes."/>
    <d v="2020-06-25T00:00:00"/>
    <d v="2020-06-25T00:00:00"/>
    <n v="38826000"/>
    <n v="0"/>
    <s v="BON SANTE SAS"/>
    <n v="901211678"/>
    <s v="ALCOHOL GLICERINADO CON REGISTRO INVIMA X LT"/>
    <n v="3000"/>
    <s v="LITRO"/>
    <n v="12942"/>
    <n v="0"/>
    <n v="38826000"/>
    <x v="45"/>
  </r>
  <r>
    <x v="16"/>
    <n v="52480"/>
    <s v="Contratar a través de la Tienda Virtual del Estado Colombianos, la adquisición de lavamanos portátiles"/>
    <d v="2020-07-23T00:00:00"/>
    <d v="2020-07-23T00:00:00"/>
    <n v="2359000"/>
    <n v="0"/>
    <s v="CENCOSUD COLOMBIA S.A."/>
    <n v="900155107"/>
    <s v="LAVAMANOS PORTATIL"/>
    <n v="1"/>
    <s v="UNIDAD"/>
    <n v="2359000"/>
    <n v="0"/>
    <n v="2359000"/>
    <x v="9"/>
  </r>
  <r>
    <x v="17"/>
    <n v="35"/>
    <s v="PRESTAR EL SERVICIO DE ASEO INTEGRAL EN LAS OFICINAS ADMINISTRATIVAS Y DESPACHOS JUDICIALES "/>
    <d v="2019-01-12T00:00:00"/>
    <d v="2019-12-01T00:00:00"/>
    <n v="0"/>
    <n v="67434392"/>
    <s v="ASEAR S.A E.S.P"/>
    <n v="811044253"/>
    <s v="_x000a__x000a_ALCOHOL ANTISÉPTICO _x000a_"/>
    <n v="400"/>
    <s v="LITRO"/>
    <n v="8193"/>
    <n v="0"/>
    <n v="3277200"/>
    <x v="20"/>
  </r>
  <r>
    <x v="17"/>
    <n v="35"/>
    <s v="PRESTAR EL SERVICIO DE ASEO INTEGRAL EN LAS OFICINAS ADMINISTRATIVAS Y DESPACHOS JUDICIALES "/>
    <d v="2019-01-12T00:00:00"/>
    <d v="2019-12-01T00:00:00"/>
    <n v="0"/>
    <n v="67434392"/>
    <s v="ASEAR S.A E.S.P"/>
    <n v="811044253"/>
    <s v="_x000a__x000a_ALCOHOL INDUSTRIAL X LITROS_x000a_"/>
    <n v="40"/>
    <s v="LITRO"/>
    <n v="10920"/>
    <n v="0"/>
    <n v="436800"/>
    <x v="20"/>
  </r>
  <r>
    <x v="17"/>
    <n v="35"/>
    <s v="PRESTAR EL SERVICIO DE ASEO INTEGRAL EN LAS OFICINAS ADMINISTRATIVAS Y DESPACHOS JUDICIALES "/>
    <d v="2019-01-12T00:00:00"/>
    <d v="2019-12-01T00:00:00"/>
    <n v="0"/>
    <n v="67434392"/>
    <s v="ASEAR S.A E.S.P"/>
    <n v="811044253"/>
    <s v="GUANTES DE NITRILO CAJA X 50"/>
    <n v="233"/>
    <s v="CAJA X 100"/>
    <n v="53200"/>
    <n v="0"/>
    <n v="12395600"/>
    <x v="10"/>
  </r>
  <r>
    <x v="17"/>
    <n v="35"/>
    <s v="PRESTAR EL SERVICIO DE ASEO INTEGRAL EN LAS OFICINAS ADMINISTRATIVAS Y DESPACHOS JUDICIALES "/>
    <d v="2019-01-12T00:00:00"/>
    <d v="2019-12-01T00:00:00"/>
    <n v="0"/>
    <n v="67434392"/>
    <s v="ASEAR S.A E.S.P"/>
    <n v="811044253"/>
    <s v="_x000a_TOALLA PAPEL RESIST. Y ABSORB X50_x000a_"/>
    <n v="193"/>
    <s v="PAQUETE X 150"/>
    <n v="15600"/>
    <n v="0"/>
    <n v="3010800"/>
    <x v="8"/>
  </r>
  <r>
    <x v="17"/>
    <n v="35"/>
    <s v="PRESTAR EL SERVICIO DE ASEO INTEGRAL EN LAS OFICINAS ADMINISTRATIVAS Y DESPACHOS JUDICIALES "/>
    <d v="2019-01-12T00:00:00"/>
    <d v="2019-12-01T00:00:00"/>
    <n v="0"/>
    <n v="67434392"/>
    <s v="ASEAR S.A E.S.P"/>
    <n v="811044253"/>
    <s v="_x000a__x000a__x000a_GEL ANTIBACTERIAL X LITRO_x000a_"/>
    <n v="400"/>
    <s v="LITRO"/>
    <n v="11127"/>
    <n v="0"/>
    <n v="4450800"/>
    <x v="4"/>
  </r>
  <r>
    <x v="17"/>
    <n v="35"/>
    <s v="PRESTAR EL SERVICIO DE ASEO INTEGRAL EN LAS OFICINAS ADMINISTRATIVAS Y DESPACHOS JUDICIALES "/>
    <d v="2019-01-13T00:00:00"/>
    <d v="2019-12-02T00:00:00"/>
    <n v="0"/>
    <n v="67434392"/>
    <s v="ASEAR S.A E.S.P"/>
    <n v="811044253"/>
    <s v="TAPABOCA DESECHABLE"/>
    <n v="3998"/>
    <s v="UNIDAD"/>
    <n v="1842"/>
    <n v="0"/>
    <n v="7364316"/>
    <x v="3"/>
  </r>
  <r>
    <x v="17"/>
    <n v="35"/>
    <s v="PRESTAR EL SERVICIO DE ASEO INTEGRAL EN LAS OFICINAS ADMINISTRATIVAS Y DESPACHOS JUDICIALES "/>
    <d v="2019-01-12T00:00:00"/>
    <d v="2019-12-01T00:00:00"/>
    <n v="0"/>
    <n v="67434392"/>
    <s v="ASEAR S.A E.S.P"/>
    <n v="811044253"/>
    <s v="_x000a__x000a_TAPABOCA TELA ANTIFLUIDO_x000a__x000a_"/>
    <n v="1000"/>
    <s v="UNIDAD"/>
    <n v="3680"/>
    <n v="0"/>
    <n v="3680000"/>
    <x v="3"/>
  </r>
  <r>
    <x v="17"/>
    <n v="35"/>
    <s v="PRESTAR EL SERVICIO DE ASEO INTEGRAL EN LAS OFICINAS ADMINISTRATIVAS Y DESPACHOS JUDICIALES "/>
    <d v="2019-01-12T00:00:00"/>
    <d v="2019-12-01T00:00:00"/>
    <n v="0"/>
    <n v="67434392"/>
    <s v="ASEAR S.A E.S.P"/>
    <n v="811044253"/>
    <s v="_x000a__x000a__x000a_MONOGAFAS DE PROTECCIÓN_x000a_"/>
    <n v="250"/>
    <s v="UNIDAD"/>
    <n v="6300"/>
    <n v="0"/>
    <n v="1575000"/>
    <x v="2"/>
  </r>
  <r>
    <x v="17"/>
    <n v="35"/>
    <s v="PRESTAR EL SERVICIO DE ASEO INTEGRAL EN LAS OFICINAS ADMINISTRATIVAS Y DESPACHOS JUDICIALES "/>
    <d v="2019-01-12T00:00:00"/>
    <d v="2019-12-01T00:00:00"/>
    <n v="0"/>
    <n v="67434392"/>
    <s v="ASEAR S.A E.S.P"/>
    <n v="811044253"/>
    <s v="DESINFECTANTE X LITRO"/>
    <n v="22"/>
    <s v="LITRO"/>
    <n v="77000"/>
    <n v="0"/>
    <n v="1694000"/>
    <x v="43"/>
  </r>
  <r>
    <x v="17"/>
    <n v="35"/>
    <s v="PRESTAR EL SERVICIO DE ASEO INTEGRAL EN LAS OFICINAS ADMINISTRATIVAS Y DESPACHOS JUDICIALES "/>
    <d v="2019-01-12T00:00:00"/>
    <d v="2019-12-01T00:00:00"/>
    <n v="0"/>
    <n v="67434392"/>
    <s v="ASEAR S.A E.S.P"/>
    <n v="811044253"/>
    <s v="_x000a__x000a_DOSIFICADORES DE PUSH X 500 ML_x000a_"/>
    <n v="450"/>
    <s v="UNIDAD"/>
    <n v="2944"/>
    <n v="0"/>
    <n v="1324800"/>
    <x v="42"/>
  </r>
  <r>
    <x v="17"/>
    <n v="35"/>
    <s v="PRESTAR EL SERVICIO DE ASEO INTEGRAL EN LAS OFICINAS ADMINISTRATIVAS Y DESPACHOS JUDICIALES "/>
    <d v="2019-01-12T00:00:00"/>
    <d v="2019-12-01T00:00:00"/>
    <n v="0"/>
    <n v="67434392"/>
    <s v="ASEAR S.A E.S.P"/>
    <n v="811044253"/>
    <s v="_x000a__x000a_ATOMIZADORES X 500 ML_x000a_"/>
    <n v="650"/>
    <s v="UNIDAD"/>
    <n v="2815"/>
    <n v="0"/>
    <n v="1829750"/>
    <x v="42"/>
  </r>
  <r>
    <x v="17"/>
    <n v="35"/>
    <s v="PRESTAR EL SERVICIO DE ASEO INTEGRAL EN LAS OFICINAS ADMINISTRATIVAS Y DESPACHOS JUDICIALES "/>
    <d v="2019-01-12T00:00:00"/>
    <d v="2019-12-01T00:00:00"/>
    <n v="0"/>
    <n v="67434392"/>
    <s v="ASEAR S.A E.S.P"/>
    <n v="811044253"/>
    <s v="_x000a__x000a_ENVASE DE PUSH  X LITRO_x000a_"/>
    <n v="387"/>
    <s v="UNIDAD"/>
    <n v="6300"/>
    <n v="0"/>
    <n v="2438100"/>
    <x v="42"/>
  </r>
  <r>
    <x v="17"/>
    <n v="35"/>
    <s v="PRESTAR EL SERVICIO DE ASEO INTEGRAL EN LAS OFICINAS ADMINISTRATIVAS Y DESPACHOS JUDICIALES "/>
    <d v="2019-01-12T00:00:00"/>
    <d v="2019-12-01T00:00:00"/>
    <n v="0"/>
    <n v="67434392"/>
    <s v="ASEAR S.A E.S.P"/>
    <n v="811044253"/>
    <s v="ENVASE ATOMIZADOR X LITRO"/>
    <n v="387"/>
    <s v="UNIDAD"/>
    <n v="6859"/>
    <n v="0"/>
    <n v="2654433"/>
    <x v="42"/>
  </r>
  <r>
    <x v="17"/>
    <n v="35"/>
    <s v="PRESTAR EL SERVICIO DE ASEO INTEGRAL EN LAS OFICINAS ADMINISTRATIVAS Y DESPACHOS JUDICIALES "/>
    <d v="2019-01-12T00:00:00"/>
    <d v="2019-12-01T00:00:00"/>
    <n v="0"/>
    <n v="67434392"/>
    <s v="ASEAR S.A E.S.P"/>
    <n v="811044253"/>
    <s v="_x000a__x000a_TRAJE BIOSEGURIDAD REUTILIZABLE X 3 VECES_x000a_"/>
    <n v="100"/>
    <s v="UNIDAD"/>
    <n v="27000"/>
    <n v="0"/>
    <n v="2700000"/>
    <x v="0"/>
  </r>
  <r>
    <x v="17"/>
    <n v="35"/>
    <s v="PRESTAR EL SERVICIO DE ASEO INTEGRAL EN LAS OFICINAS ADMINISTRATIVAS Y DESPACHOS JUDICIALES "/>
    <d v="2019-01-12T00:00:00"/>
    <d v="2019-12-01T00:00:00"/>
    <n v="0"/>
    <n v="67434392"/>
    <s v="ASEAR S.A E.S.P"/>
    <n v="811044253"/>
    <s v="JABON LIQUIDO X LITRO"/>
    <n v="400"/>
    <s v="LITRO"/>
    <n v="3492"/>
    <n v="0"/>
    <n v="1396800"/>
    <x v="5"/>
  </r>
  <r>
    <x v="17"/>
    <n v="35"/>
    <s v="PRESTAR EL SERVICIO DE ASEO INTEGRAL EN LAS OFICINAS ADMINISTRATIVAS Y DESPACHOS JUDICIALES "/>
    <d v="2019-01-12T00:00:00"/>
    <d v="2019-12-01T00:00:00"/>
    <n v="0"/>
    <n v="67434392"/>
    <s v="ASEAR S.A E.S.P"/>
    <n v="811044253"/>
    <s v="CARETAS DE PROTECCIÓN "/>
    <n v="750"/>
    <s v="UNIDAD"/>
    <n v="14000"/>
    <n v="0"/>
    <n v="10500000"/>
    <x v="11"/>
  </r>
  <r>
    <x v="17"/>
    <n v="35"/>
    <s v="PRESTAR EL SERVICIO DE ASEO INTEGRAL EN LAS OFICINAS ADMINISTRATIVAS Y DESPACHOS JUDICIALES "/>
    <d v="2019-01-12T00:00:00"/>
    <d v="2019-12-01T00:00:00"/>
    <n v="0"/>
    <n v="67434392"/>
    <s v="ASEAR S.A E.S.P"/>
    <n v="811044253"/>
    <s v="TERMOMETRO INFRAROJO DIGITAL "/>
    <n v="15"/>
    <s v="UNIDAD"/>
    <n v="447058"/>
    <n v="0"/>
    <n v="6705870"/>
    <x v="21"/>
  </r>
  <r>
    <x v="18"/>
    <s v="CD 03 DE 2020"/>
    <s v="COMPRAVENTA DE INSUMOS PARA ATENDER EMERGENCIA SANITARIA OCASIONADA POR EL COVID-19 EN LAS SEDES JUDICIALES DEL DEPARTAMENTO DE SUCRE"/>
    <d v="2020-03-24T00:00:00"/>
    <d v="2020-03-24T00:00:00"/>
    <n v="19313663"/>
    <n v="0"/>
    <s v="ARMANDO MARTIN NIETO CASTAÑO"/>
    <n v="92511814"/>
    <s v="TRAJE ENTERO ANTIFLUIDO"/>
    <n v="229"/>
    <s v="UNIDAD"/>
    <n v="34061"/>
    <n v="6471.59"/>
    <n v="9281963.1099999994"/>
    <x v="0"/>
  </r>
  <r>
    <x v="18"/>
    <s v="CD 03 DE 2020"/>
    <s v="COMPRAVENTA DE INSUMOS PARA ATENDER EMERGENCIA SANITARIA OCASIONADA POR EL COVID-19 EN LAS SEDES JUDICIALES DEL DEPARTAMENTO DE SUCRE"/>
    <d v="2020-03-24T00:00:00"/>
    <d v="2020-03-24T00:00:00"/>
    <n v="19313663"/>
    <n v="0"/>
    <s v="ARMANDO MARTIN NIETO CASTAÑO"/>
    <n v="92511814"/>
    <s v="TAPABOCAS DESECHABLES EN PAQUETES INDIVIDUALES"/>
    <n v="1500"/>
    <s v="UNIDAD"/>
    <n v="4200"/>
    <n v="798"/>
    <n v="7497000"/>
    <x v="3"/>
  </r>
  <r>
    <x v="18"/>
    <s v="CD 03 DE 2020"/>
    <s v="COMPRAVENTA DE INSUMOS PARA ATENDER EMERGENCIA SANITARIA OCASIONADA POR EL COVID-19 EN LAS SEDES JUDICIALES DEL DEPARTAMENTO DE SUCRE"/>
    <d v="2020-03-24T00:00:00"/>
    <d v="2020-03-24T00:00:00"/>
    <n v="19313663"/>
    <n v="0"/>
    <s v="ARMANDO MARTIN NIETO CASTAÑO"/>
    <n v="92511814"/>
    <s v=" TOALLAS MANOS DESECHABLES EN Z"/>
    <n v="120"/>
    <s v="PAQUETE X 150"/>
    <n v="14000"/>
    <n v="2660"/>
    <n v="1999200"/>
    <x v="8"/>
  </r>
  <r>
    <x v="18"/>
    <s v="CD 03 DE 2020"/>
    <s v="COMPRAVENTA DE INSUMOS PARA ATENDER EMERGENCIA SANITARIA OCASIONADA POR EL COVID-19 EN LAS SEDES JUDICIALES DEL DEPARTAMENTO DE SUCRE"/>
    <d v="2020-03-24T00:00:00"/>
    <d v="2020-03-24T00:00:00"/>
    <n v="19313663"/>
    <n v="0"/>
    <s v="ARMANDO MARTIN NIETO CASTAÑO"/>
    <n v="92511814"/>
    <s v="GUANTES LATEX TALLA L Y M"/>
    <n v="10"/>
    <s v="CAJA X 100"/>
    <n v="45000"/>
    <n v="8550"/>
    <n v="535500"/>
    <x v="18"/>
  </r>
  <r>
    <x v="18"/>
    <s v="ADICION CD 03 DE 2020"/>
    <s v="COMPRAVENTA DE INSUMOS PARA ATENDER EMERGENCIA SANITARIA OCASIONADA POR EL COVID-19 EN LAS SEDES JUDICIALES DEL DEPARTAMENTO DE SUCRE"/>
    <d v="2020-03-24T00:00:00"/>
    <d v="2020-03-24T00:00:00"/>
    <n v="0"/>
    <n v="4134324"/>
    <s v="ARMANDO MARTIN NIETO CASTAÑO"/>
    <n v="92511814"/>
    <s v="TRAJE ENTERO ANTIFLUIDO"/>
    <n v="102"/>
    <s v="UNIDAD"/>
    <n v="34061"/>
    <n v="6471.59"/>
    <n v="4134324.1799999997"/>
    <x v="0"/>
  </r>
  <r>
    <x v="18"/>
    <s v="CD 05 DE 2020"/>
    <s v="COMPRA Y ALQUILER DE COMPUTADORES PORTATILES PARA ATENDER AUDIENCIAS VIRTUALES EN EL CONTEXTO DE LA EMERGENCIA SANITARIA"/>
    <d v="2020-03-27T00:00:00"/>
    <d v="2020-03-27T00:00:00"/>
    <n v="56500000"/>
    <n v="0"/>
    <s v="LEONARDO FABIO PERALTA VILLEGAS"/>
    <n v="92640352"/>
    <s v="ADQUISICION COMPUTADORES PORTATILES HP"/>
    <n v="30"/>
    <s v="UNIDAD"/>
    <n v="1685000"/>
    <n v="0"/>
    <n v="50550000"/>
    <x v="25"/>
  </r>
  <r>
    <x v="18"/>
    <s v="CD 05 DE 2020"/>
    <s v="COMPRA Y ALQUILER DE COMPUTADORES PORTATILES PARA ATENDER AUDIENCIAS VIRTUALES EN EL CONTEXTO DE LA EMERGENCIA SANITARIA"/>
    <d v="2020-03-27T00:00:00"/>
    <d v="2020-03-27T00:00:00"/>
    <n v="56500000"/>
    <n v="0"/>
    <s v="LEONARDO FABIO PERALTA VILLEGAS"/>
    <n v="92640352"/>
    <s v="ALQUILER DE 10 COMPUTADORES PORTATILES X 2 MESES"/>
    <n v="20"/>
    <s v="VALOR MENSUAL POR EQUIPO"/>
    <n v="250000"/>
    <n v="47500"/>
    <n v="5950000"/>
    <x v="28"/>
  </r>
  <r>
    <x v="18"/>
    <s v="CD 06 DE 2020"/>
    <s v="COMPRAVENTA DE INSUMOS PARA ATENDER EMERGENCIA SANITARIA OCASIONADA POR EL COVID-19 EN LAS SEDES JUDICIALES DEL DEPARTAMENTO DE SUCRE"/>
    <d v="2020-04-16T00:00:00"/>
    <d v="2020-04-16T00:00:00"/>
    <n v="36963400"/>
    <n v="0"/>
    <s v="ALFA SUPPLIES SAS"/>
    <n v="901008660"/>
    <s v="GAFAS PROTECTORAS TRANSPARENTES DE SEGURIDAD"/>
    <n v="200"/>
    <s v="UNIDAD"/>
    <n v="5882"/>
    <n v="0"/>
    <n v="1176400"/>
    <x v="35"/>
  </r>
  <r>
    <x v="18"/>
    <s v="CD 06 DE 2020"/>
    <s v="COMPRAVENTA DE INSUMOS PARA ATENDER EMERGENCIA SANITARIA OCASIONADA POR EL COVID-19 EN LAS SEDES JUDICIALES DEL DEPARTAMENTO DE SUCRE"/>
    <d v="2020-04-16T00:00:00"/>
    <d v="2020-04-16T00:00:00"/>
    <n v="36963400"/>
    <n v="0"/>
    <s v="ALFA SUPPLIES SAS"/>
    <n v="901008660"/>
    <s v="MASCARILLAS BLANCAS TERMOSELLADAS (TAPABOCAS)"/>
    <n v="12000"/>
    <s v="UNIDAD"/>
    <n v="2352"/>
    <n v="0"/>
    <n v="28224000"/>
    <x v="3"/>
  </r>
  <r>
    <x v="18"/>
    <s v="CD 06 DE 2020"/>
    <s v="COMPRAVENTA DE INSUMOS PARA ATENDER EMERGENCIA SANITARIA OCASIONADA POR EL COVID-19 EN LAS SEDES JUDICIALES DEL DEPARTAMENTO DE SUCRE"/>
    <d v="2020-04-16T00:00:00"/>
    <d v="2020-04-16T00:00:00"/>
    <n v="36963400"/>
    <n v="0"/>
    <s v="ALFA SUPPLIES SAS"/>
    <n v="901008660"/>
    <s v="GUANTES NITRILO TALLA M Y L"/>
    <n v="200"/>
    <s v="CAJA X 100"/>
    <n v="37815"/>
    <n v="0"/>
    <n v="7563000"/>
    <x v="10"/>
  </r>
  <r>
    <x v="18"/>
    <s v="CD 07 DE 2020"/>
    <s v="CONSULTORIA PARA LA ASESORÍA, DISEÑO Y CERTIFICACIÓN DE LA IMPLEMENTACIÓN DEL PROTOCOLO DE ACCESO A SEDES, ESTABLECIDO POR LA DEAJ A TRAVÉS DE LA CIRCULAR DEAJC20-35 DE 5 DE MAYO DE 2020, EN LAS SEDES JUDICIALES DEL DEPARTAMENTO DE SUCRE"/>
    <d v="2020-05-26T00:00:00"/>
    <d v="2020-05-27T00:00:00"/>
    <n v="3800000"/>
    <n v="0"/>
    <s v="ALICIA MARÍA GÁMEZ CAUSIL"/>
    <n v="52516254"/>
    <s v="ASESORIA, DISEÑO Y CERTIF. PROTOCOLOS DE BIOSEGURIDAD"/>
    <n v="1"/>
    <s v="UNIDAD"/>
    <n v="3800000"/>
    <n v="0"/>
    <n v="3800000"/>
    <x v="48"/>
  </r>
  <r>
    <x v="18"/>
    <s v="CD 08 DE 2020"/>
    <s v="ADQUISICIÓN DE TAPETES DE DESINFECCIÓN Y SU SANITIZANTE, PARA TODAS LAS SEDES JUDICIALES DEL DEPARTAMENTO DE SUCRE, EN VIRTUD DE MITIGAR EL RIESGO DE CONTAGIO CON EL COVID-19"/>
    <d v="2020-05-28T00:00:00"/>
    <d v="2020-05-29T00:00:00"/>
    <n v="12842000"/>
    <n v="0"/>
    <s v="COMERCIALIZADORA DA VINCI S.A.S"/>
    <n v="900151140"/>
    <s v="KIT DESINF.TAPETE: 1 TAPETE DESINF. LIQ Y 1 ATRAPA HUMEDAD .55 X .55 MAS SANITIZANTE POR 4,5 LTS"/>
    <n v="23"/>
    <s v="KIT"/>
    <n v="325000"/>
    <n v="0"/>
    <n v="7475000"/>
    <x v="33"/>
  </r>
  <r>
    <x v="18"/>
    <s v="CD 08 DE 2020"/>
    <s v="ADQUISICIÓN DE TAPETES DE DESINFECCIÓN Y SU SANITIZANTE, PARA TODAS LAS SEDES JUDICIALES DEL DEPARTAMENTO DE SUCRE, EN VIRTUD DE MITIGAR EL RIESGO DE CONTAGIO CON EL COVID-19"/>
    <d v="2020-05-28T00:00:00"/>
    <d v="2020-05-29T00:00:00"/>
    <n v="12842000"/>
    <n v="0"/>
    <s v="COMERCIALIZADORA DA VINCI S.A.S"/>
    <n v="900151140"/>
    <s v="KIT DESINF.TAPETE: 1 TAPETE DESINF. LIQ Y 1 ATRAPA HUMEDAD 1,00 X .65 MAS SANITIZANTE POR 4,5 LTS"/>
    <n v="6"/>
    <s v="KIT"/>
    <n v="532000"/>
    <n v="0"/>
    <n v="3192000"/>
    <x v="33"/>
  </r>
  <r>
    <x v="18"/>
    <s v="CD 08 DE 2020"/>
    <s v="ADQUISICIÓN DE TAPETES DE DESINFECCIÓN Y SU SANITIZANTE, PARA TODAS LAS SEDES JUDICIALES DEL DEPARTAMENTO DE SUCRE, EN VIRTUD DE MITIGAR EL RIESGO DE CONTAGIO CON EL COVID-19"/>
    <d v="2020-05-28T00:00:00"/>
    <d v="2020-05-29T00:00:00"/>
    <n v="12842000"/>
    <n v="0"/>
    <s v="COMERCIALIZADORA DA VINCI S.A.S"/>
    <n v="900151140"/>
    <s v="SANITIZANTE SOLUCION RECIPIENTE "/>
    <n v="130.5"/>
    <s v="LITRO"/>
    <n v="16667"/>
    <n v="0"/>
    <n v="2175043.5"/>
    <x v="4"/>
  </r>
  <r>
    <x v="18"/>
    <s v="CD 09 DE 2020"/>
    <s v="SERVICIO DE IMPRESIÓN DE AVISOS INFORMATIVOS Y SEÑALIZACIONES, RELACIONADAS CON MEDIDAS PREVENTIVAS CONTRA EL COVID-19, PARA SER INSTALADAS EN TODAS LAS SEDES JUDICIALES DEL DEPARTAMENTO DE SUCRE"/>
    <d v="2020-05-29T00:00:00"/>
    <d v="2020-05-29T00:00:00"/>
    <n v="3624000"/>
    <n v="0"/>
    <s v="ERNESTO BELTRAN BELTRÁN "/>
    <n v="16471150"/>
    <s v="IMPRESIÓN KITS SEÑALIZACION BIOSEGURIDAD"/>
    <n v="995"/>
    <s v="UNIDAD"/>
    <n v="3642.211055276382"/>
    <n v="0"/>
    <n v="3624000"/>
    <x v="30"/>
  </r>
  <r>
    <x v="18"/>
    <s v="CD 010-2020"/>
    <s v="ADQUISICIÓN DE DISPENSADORES DE PEDAL PARA SUMINISTRO DE GEL ANTIBACTERIAL EN LAS ZONAS COMUNES DE LAS SEDES JUDICIALES DEL DEPARTAMENTO DEL SUCRE COMO MEDIDA DE PREVENCIÓN DE CONTAGIO CON COVID-19"/>
    <d v="2020-06-08T00:00:00"/>
    <d v="2020-06-08T00:00:00"/>
    <n v="2909550"/>
    <n v="0"/>
    <s v="TULIA TERESA OÑATE MONTERO"/>
    <n v="22866793"/>
    <s v="DISPENSADOR DE PEDAL PARA GEL ACERO INOXIDABLE"/>
    <n v="15"/>
    <s v="UNIDAD"/>
    <n v="163000"/>
    <n v="30970"/>
    <n v="2909550"/>
    <x v="12"/>
  </r>
  <r>
    <x v="18"/>
    <s v="CD 12 DE 2020"/>
    <s v="ADQUISICIÓN E INSTALACIÓN DE LAVAMANOS EN ACERO INOXIDABLE PARA FORTALECER LAS MEDIDAS DE PREVENCIÓN DE CONTAGIO CON COVID-19"/>
    <d v="2020-06-19T00:00:00"/>
    <d v="2020-06-19T00:00:00"/>
    <n v="36300000"/>
    <n v="0"/>
    <s v="CARLOS ARTURO HERNANDEZ MARTINEZ"/>
    <n v="92501255"/>
    <s v="LAVAMANOS EN ACERO INOXIDABLE C. 20 CON CONEXIÓN EXTERNA HIDRAULICA Y SANITARIA "/>
    <n v="22"/>
    <s v="UNIDAD"/>
    <n v="1650000"/>
    <n v="0"/>
    <n v="36300000"/>
    <x v="9"/>
  </r>
  <r>
    <x v="18"/>
    <s v="ADICION CD 07 DE 2020"/>
    <s v="CONSULTORIA PARA LA ASESORÍA, DISEÑO Y CERTIFICACIÓN DE LA IMPLEMENTACIÓN DEL PROTOCOLO DE ACCESO A SEDES, ESTABLECIDO POR LA DEAJ A TRAVÉS DE LA CIRCULAR DEAJC20-35 DE 5 DE MAYO DE 2020, EN LAS SEDES JUDICIALES DEL DEPARTAMENTO DE SUCRE"/>
    <d v="2020-06-19T00:00:00"/>
    <d v="2020-05-27T00:00:00"/>
    <n v="0"/>
    <n v="2700000"/>
    <s v="ALICIA MARÍA GÁMEZ CAUSIL"/>
    <n v="52516254"/>
    <s v="ASESORIA, DISEÑO Y CERTIF. PROTOCOLOS DE BIOSEGURIDAD"/>
    <n v="1"/>
    <s v="UNIDAD"/>
    <n v="2700000"/>
    <n v="0"/>
    <n v="2700000"/>
    <x v="48"/>
  </r>
  <r>
    <x v="18"/>
    <s v="CD 13 DE 2020"/>
    <s v="ADQUISICIÓN DE MATERIALES PARA DEMARCACIÓN DE ÁREAS DE DISTANCIAMIENTO SOCIAL, CON EL OBJETIVO DE FORTALECER LAS MEDIDAS DE PREVENCIÓN DE CONTAGIO CON COVID-19 EN TODAS LAS SEDES JUDICIALES DEL DEPARTAMENTO DE SUCRE."/>
    <d v="2020-06-30T00:00:00"/>
    <d v="2020-06-30T00:00:00"/>
    <n v="3120000"/>
    <n v="0"/>
    <s v="REINALDO ENRIQUE HERNANDEZ GOMEZ"/>
    <n v="92527655"/>
    <s v="PINTURA TRÁFICO COLOR AMARILLO"/>
    <n v="8"/>
    <s v="GALON"/>
    <n v="63025"/>
    <n v="11974.75"/>
    <n v="599998"/>
    <x v="30"/>
  </r>
  <r>
    <x v="18"/>
    <s v="CD 13 DE 2020"/>
    <s v="ADQUISICIÓN DE MATERIALES PARA DEMARCACIÓN DE ÁREAS DE DISTANCIAMIENTO SOCIAL, CON EL OBJETIVO DE FORTALECER LAS MEDIDAS DE PREVENCIÓN DE CONTAGIO CON COVID-19 EN TODAS LAS SEDES JUDICIALES DEL DEPARTAMENTO DE SUCRE."/>
    <d v="2020-06-30T00:00:00"/>
    <d v="2020-06-30T00:00:00"/>
    <n v="3120000"/>
    <n v="0"/>
    <s v="REINALDO ENRIQUE HERNANDEZ GOMEZ"/>
    <n v="92527655"/>
    <s v="CINTA DE PELIGRO X 500 MTS"/>
    <n v="40"/>
    <s v="ROLLO X 500 MTS"/>
    <n v="25210.084033613446"/>
    <n v="4789.9159663865548"/>
    <n v="1200000"/>
    <x v="30"/>
  </r>
  <r>
    <x v="18"/>
    <s v="CD 13 DE 2020"/>
    <s v="ADQUISICIÓN DE MATERIALES PARA DEMARCACIÓN DE ÁREAS DE DISTANCIAMIENTO SOCIAL, CON EL OBJETIVO DE FORTALECER LAS MEDIDAS DE PREVENCIÓN DE CONTAGIO CON COVID-19 EN TODAS LAS SEDES JUDICIALES DEL DEPARTAMENTO DE SUCRE."/>
    <d v="2020-06-30T00:00:00"/>
    <d v="2020-06-30T00:00:00"/>
    <n v="3120000"/>
    <n v="0"/>
    <s v="REINALDO ENRIQUE HERNANDEZ GOMEZ"/>
    <n v="92527655"/>
    <s v="CINTA ANTIDESLIZANTE X 5 MTS"/>
    <n v="60"/>
    <s v="ROLLO X 5 MTS"/>
    <n v="18487.394957983193"/>
    <n v="3512.6050420168067"/>
    <n v="1320000"/>
    <x v="30"/>
  </r>
  <r>
    <x v="18"/>
    <s v="CD 14 DE 2020"/>
    <s v="ADQUISICIÓN DE CÁMARAS WEB, MINI-PARLANTES Y LECTORES DE CÓDIGO DE BARRAS Y QR PARA COMPUTADORES, EN VIRTUD DE FORTALECER LAS HERRAMIENTAS TECNOLÓGICAS PARA LA PRESTACIÓN DEL SERVICIO DE JUSTICIA EN MEDIO DE LA EMERGENCIA SANITARIA OCASIONADA POR EL COVID-19"/>
    <d v="2020-07-10T00:00:00"/>
    <d v="2020-07-13T00:00:00"/>
    <n v="140991200"/>
    <n v="0"/>
    <s v="CREAR DE COLOMBIA S.A.S."/>
    <n v="900564459"/>
    <s v="WEBCAM - HDR, Campo visual ajustable, Enfoque automático, Zoom digital, Gran panorámica, Micrófono omnidireccional, Sensor de infrarrojo, Clip universal, Lente de cristal_x000a_"/>
    <n v="300"/>
    <s v="UNIDAD"/>
    <n v="330000"/>
    <n v="62700"/>
    <n v="117810000"/>
    <x v="31"/>
  </r>
  <r>
    <x v="18"/>
    <s v="CD 14 DE 2020"/>
    <s v="ADQUISICIÓN DE CÁMARAS WEB, MINI-PARLANTES Y LECTORES DE CÓDIGO DE BARRAS Y QR PARA COMPUTADORES, EN VIRTUD DE FORTALECER LAS HERRAMIENTAS TECNOLÓGICAS PARA LA PRESTACIÓN DEL SERVICIO DE JUSTICIA EN MEDIO DE LA EMERGENCIA SANITARIA OCASIONADA POR EL COVID-19"/>
    <d v="2020-07-10T00:00:00"/>
    <d v="2020-07-13T00:00:00"/>
    <n v="140991200"/>
    <n v="0"/>
    <s v="CREAR DE COLOMBIA S.A.S."/>
    <n v="900564459"/>
    <s v="MINI PARLANTES - Salida RMS de 1.5 vatios, Potencia de 3 vatios, Energía suministrada por puerto USB del pc, Control de volumen_x000a_"/>
    <n v="300"/>
    <s v="PAR"/>
    <n v="43600"/>
    <n v="8284"/>
    <n v="15565200"/>
    <x v="49"/>
  </r>
  <r>
    <x v="18"/>
    <s v="CD 14 DE 2020"/>
    <s v="ADQUISICIÓN DE CÁMARAS WEB, MINI-PARLANTES Y LECTORES DE CÓDIGO DE BARRAS Y QR PARA COMPUTADORES, EN VIRTUD DE FORTALECER LAS HERRAMIENTAS TECNOLÓGICAS PARA LA PRESTACIÓN DEL SERVICIO DE JUSTICIA EN MEDIO DE LA EMERGENCIA SANITARIA OCASIONADA POR EL COVID-19"/>
    <d v="2020-07-10T00:00:00"/>
    <d v="2020-07-13T00:00:00"/>
    <n v="140991200"/>
    <n v="0"/>
    <s v="CREAR DE COLOMBIA S.A.S."/>
    <n v="900564459"/>
    <s v="LECTORA CODIGO DE BARRAS Y QR -Tipo imagen lineal, Lectura de códigos 1D/2D, Conexión USB o inalámbrica, Disparador manual o  automático._x000a_(control de acceso sedes judiciales con el programa ENKI)"/>
    <n v="8"/>
    <s v="UNIDAD"/>
    <n v="800000"/>
    <n v="152000"/>
    <n v="7616000"/>
    <x v="50"/>
  </r>
  <r>
    <x v="18"/>
    <s v="OC 49099"/>
    <s v="LA ADQUISICIÓN DE ELEMENTOS DE PROTECCIÓN PERSONAL E INSUMOS DE ASEO PARA PREVENIR LA PROPAGACIÓN DEL CORONAVIRUS COVID-19 EN LAS SEDES JUDICIALES DEL DEPARTAMENTO DE SUCRE"/>
    <d v="2020-05-20T00:00:00"/>
    <d v="2020-05-20T00:00:00"/>
    <n v="14137298"/>
    <n v="0"/>
    <s v="CLAUDIA PATRICIA MURILLO"/>
    <n v="66973463"/>
    <s v="TAPABOCAS DOBLE TELA LAVABLE "/>
    <n v="9400"/>
    <s v="UNIDAD"/>
    <n v="1489.2553"/>
    <n v="0"/>
    <n v="13998999.82"/>
    <x v="3"/>
  </r>
  <r>
    <x v="18"/>
    <s v="OC 49117"/>
    <s v="LA ADQUISICIÓN DE ELEMENTOS DE PROTECCIÓN PERSONAL E INSUMOS DE ASEO PARA PREVENIR LA PROPAGACIÓN DEL CORONAVIRUS COVID-19 EN LAS SEDES JUDICIALES DEL DEPARTAMENTO DE SUCRE"/>
    <d v="2020-05-23T00:00:00"/>
    <d v="2020-05-23T00:00:00"/>
    <n v="27680850.550000001"/>
    <n v="0"/>
    <s v="INDUHOTEL SAS"/>
    <n v="900300970"/>
    <s v="TAPABOCAS DESECHABLE "/>
    <n v="20000"/>
    <s v="UNIDAD"/>
    <n v="1372.3404"/>
    <n v="0"/>
    <n v="27446808"/>
    <x v="3"/>
  </r>
  <r>
    <x v="18"/>
    <s v="OC 49291"/>
    <s v="LA ADQUISICIÓN DE ELEMENTOS DE PROTECCIÓN PERSONAL E INSUMOS DE ASEO PARA PREVENIR LA PROPAGACIÓN DEL CORONAVIRUS COVID-19 EN LAS SEDES JUDICIALES DEL DEPARTAMENTO DE SUCRE"/>
    <d v="2020-05-28T00:00:00"/>
    <d v="2020-05-28T00:00:00"/>
    <n v="2297873"/>
    <n v="0"/>
    <s v="DIGILED TECHNOLOGY S.A.S"/>
    <n v="901104771"/>
    <s v="DESINFECTANTE A BASE DE CLORO - HIPOCLORITO GALON (200 galones)"/>
    <n v="757"/>
    <s v="LITRO"/>
    <n v="2614"/>
    <n v="0"/>
    <n v="1978798"/>
    <x v="43"/>
  </r>
  <r>
    <x v="18"/>
    <s v="OC 49292"/>
    <s v="LA ADQUISICIÓN DE ELEMENTOS DE PROTECCIÓN PERSONAL E INSUMOS DE ASEO PARA PREVENIR LA PROPAGACIÓN DEL CORONAVIRUS COVID-19 EN LAS SEDES JUDICIALES DEL DEPARTAMENTO DE SUCRE"/>
    <d v="2020-05-28T00:00:00"/>
    <d v="2020-05-28T00:00:00"/>
    <n v="1729522.14"/>
    <n v="0"/>
    <s v="TENSOACTIVOS SG SAS"/>
    <n v="805023817"/>
    <s v="ALCOHOL ANTISEPTICO GALON X 3750 ML (50 galones)"/>
    <n v="189"/>
    <s v="LITRO"/>
    <n v="7869.75"/>
    <n v="0"/>
    <n v="1487382.75"/>
    <x v="20"/>
  </r>
  <r>
    <x v="18"/>
    <s v="OC 49884"/>
    <s v="COMPRAVENTA DE INSUMOS PARA ATENDER EMERGENCIA SANITARIA OCASIONADA POR EL COVID-19 EN LAS SEDES JUDICIALES DEL DEPARTAMENTO DE SUCRE."/>
    <d v="2020-06-04T00:00:00"/>
    <d v="2020-06-04T00:00:00"/>
    <n v="12492569"/>
    <n v="0"/>
    <s v="OFIBEST S.A.S"/>
    <n v="900350133"/>
    <s v="TOALLAS DESECHABLES PARA MANOS EN Z"/>
    <n v="1568"/>
    <s v="PAQUETE X 150"/>
    <n v="5212.7700000000004"/>
    <n v="990.42630000000008"/>
    <n v="9726611.7984000016"/>
    <x v="8"/>
  </r>
  <r>
    <x v="18"/>
    <s v="OC 49899"/>
    <s v="COMPRAVENTA DE INSUMOS PARA ATENDER EMERGENCIA SANITARIA OCASIONADA POR EL COVID-19 EN LAS SEDES JUDICIALES DEL DEPARTAMENTO DE SUCRE."/>
    <d v="2020-06-04T00:00:00"/>
    <d v="2020-06-04T00:00:00"/>
    <n v="4440238.3"/>
    <n v="0"/>
    <s v="AESTHETICS &amp; MEDICAL SOLUTIONS SAS"/>
    <n v="900567130"/>
    <s v="JABON LIQUIDO DISPENSADOR MANOS X 3785 C.C. GALON (208 galones)"/>
    <n v="787"/>
    <s v="LITRO"/>
    <n v="4610"/>
    <n v="0"/>
    <n v="3628070"/>
    <x v="5"/>
  </r>
  <r>
    <x v="18"/>
    <s v="OC 50035"/>
    <s v="COMPRAVENTA DE PROTECTORES FACIALES PARA ATENDER EMERGENCIA SANITARIA OCASIONADA POR EL COVID-19 EN LAS SEDES JUDICIALES DEL DEPARTAMENTO DE SUCRE"/>
    <d v="2020-06-05T00:00:00"/>
    <d v="2020-06-05T00:00:00"/>
    <n v="4308511.47"/>
    <n v="0"/>
    <s v="ABBAPLAX SAS"/>
    <n v="860062147"/>
    <s v="CARETAS VISORES"/>
    <n v="300"/>
    <s v="UNIDAD"/>
    <n v="13829.79"/>
    <n v="0"/>
    <n v="4148937.0000000005"/>
    <x v="11"/>
  </r>
  <r>
    <x v="18"/>
    <s v="OC 50278"/>
    <s v="ADQUISICIÓN DE TERMÓMETROS INFRARROJOS SIN CONTACTO, PARA SER DISPUESTOS EN LAS SEDES JUDICIALES DEL DEPARTAMENTO DE SUCRE, EN VIRTUD DE MITIGAR EL RIESGO DE CONTAGIO CON EL COVID-19"/>
    <d v="2020-06-10T00:00:00"/>
    <d v="2020-06-10T00:00:00"/>
    <n v="9148936.2300000004"/>
    <n v="0"/>
    <s v="HB INTERNATIONAL CORP SOCIEDAD POR ACCIONES SIMPLIFICADA SAS"/>
    <n v="900257066"/>
    <s v="TERMOMETRO INFRAROJO SIN CONTACTO"/>
    <n v="25"/>
    <s v="UNIDAD"/>
    <n v="361702.13"/>
    <n v="0"/>
    <n v="9042553.25"/>
    <x v="21"/>
  </r>
  <r>
    <x v="18"/>
    <s v="OC 50303"/>
    <s v="COMPRAVENTA DE CANECAS DE BIOSEGURIDAD PARA LAS SEDES JUDICIALES DEL DEPARTAMENTO DE SUCRE, CON EL FIN DE MITIGAR EL RIESGO DE CONTAGIO DEL COVID-19"/>
    <d v="2020-06-11T00:00:00"/>
    <d v="2020-06-11T00:00:00"/>
    <n v="3262680"/>
    <n v="0"/>
    <s v="PANAMERICANA LIBRERÍA Y PAPELERÍA S.A."/>
    <n v="830037946"/>
    <s v="CANECAS PLASTICAS ROJAS DE PEDAL, TAMAÑO 20 LT"/>
    <n v="54"/>
    <s v="UNIDAD"/>
    <n v="57000"/>
    <n v="3420"/>
    <n v="3262680"/>
    <x v="15"/>
  </r>
  <r>
    <x v="18"/>
    <s v="OC 50492"/>
    <s v="COMPRAVENTA DE ALCOHOL ISOPROPILICO AL 70% GEL PARA ATENDER EMERGENCIA SANITARIA OCASIONADA POR EL COVID-19 EN LAS SEDES JUDICIALES DEL DEPARTAMENTO DE SUCRE"/>
    <d v="2020-06-16T00:00:00"/>
    <d v="2020-06-16T00:00:00"/>
    <n v="7473404"/>
    <n v="0"/>
    <s v="PMI PROYECTOS MONTAJES E INGENIERIA"/>
    <n v="900704052"/>
    <s v="ALCOHOL ISOPROPILICO 70% EN GEL PARA ANTISEPSIA GALON (145 galones)"/>
    <n v="549"/>
    <s v="LITRO"/>
    <n v="12648"/>
    <n v="0"/>
    <n v="6943752"/>
    <x v="20"/>
  </r>
  <r>
    <x v="18"/>
    <s v="OC 51158"/>
    <s v="COMPRAVENTA DE GUANTES DE NITRILO PARA ATENDER EMERGENCIA SANITARIA OCASIONADA POR EL COVID-19 EN LAS SEDES JUDICIALES DEL DEPARTAMENTO DE SUCRE"/>
    <d v="2020-06-26T00:00:00"/>
    <d v="2020-06-26T00:00:00"/>
    <n v="5828191.8300000001"/>
    <n v="0"/>
    <s v="INDUHOTEL SAS"/>
    <n v="900300970"/>
    <s v="GUANTES DE NITRILO "/>
    <n v="115"/>
    <s v="CAJA X 100"/>
    <n v="49893.62"/>
    <n v="0"/>
    <n v="5737766.3000000007"/>
    <x v="10"/>
  </r>
  <r>
    <x v="18"/>
    <s v="OC 52370"/>
    <s v="COMPRAVENTA DE ALCOHOL ANTISEPTICO AL 70% PARA ATENDER EMERGENCIA SANITARIA OCASIONADA POR EL COVID-19 EN LAS SEDES JUDICIALES DEL DEPARTAMENTO DE SUCRE"/>
    <d v="2020-07-21T00:00:00"/>
    <d v="2020-07-21T00:00:00"/>
    <n v="5100093"/>
    <n v="0"/>
    <s v="COSMETICOS SAMY SA"/>
    <n v="811008383"/>
    <s v="ALCOHOL GALON X 3750 ML (270 GALONES)"/>
    <n v="1022"/>
    <s v="LITRO"/>
    <n v="4413"/>
    <n v="0"/>
    <n v="4510086"/>
    <x v="20"/>
  </r>
  <r>
    <x v="18"/>
    <s v="ADICION LP 01 DE 2019"/>
    <s v="LA PRESTACIÓN DEL SERVICIO DE VIGILANCIA Y SEGURIDAD PRIVADA, CON DESTINO A LOS DIFERENTES DESPACHOS JUDICIALES Y SEDES ADMINISTRATIVAS A CARGO DE LA DIRECCIÓN EJECUTIVA SECCIONAL DE ADMINISTRACIÓN JUDICIAL DE SINCELEJO"/>
    <d v="2029-11-08T00:00:00"/>
    <d v="2020-03-17T00:00:00"/>
    <n v="0"/>
    <n v="5308690"/>
    <s v="VIPERS LTDA"/>
    <n v="800209088"/>
    <s v="PRESTACION SERVICIO DE VIGILANCIA CON TOMA DE TEMPERATURA, A TRAVES DE TERMOMETRO INFRARROJO EN 10 PUESTOS DE VIGILANCIA DE LAS DIFERENTES SEDES JUDICIALES DEL DPTO DE SUCRE "/>
    <n v="10"/>
    <s v="VALOR MENSUAL POR PERSONA"/>
    <n v="530869"/>
    <n v="0"/>
    <n v="5308690"/>
    <x v="51"/>
  </r>
  <r>
    <x v="18"/>
    <s v="ADICION LP 02 DE 2019"/>
    <s v="EL SERVICIO DE ASEO Y MANTENIMIENTO BÁSICO, CON INSUMOS Y MAQUINARIA INCLUIDA, LIMPIEZA DE JARDINES Y EQUIPOS PARA LAS SEDES JUDICIALES QUE CONFORMAN EL DISTRITO JUDICIAL DE SINCELEJO"/>
    <d v="2019-11-01T00:00:00"/>
    <d v="2020-03-16T00:00:00"/>
    <n v="0"/>
    <n v="31068000"/>
    <s v="DON ASEO LTDA"/>
    <n v="812000152"/>
    <s v="ALCOHOL GLICERINADO AL 92%"/>
    <n v="400"/>
    <s v="LITRO"/>
    <n v="11000"/>
    <n v="0"/>
    <n v="4400000"/>
    <x v="45"/>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JABON LIQUIDO ANTIBACTERIAL"/>
    <n v="400"/>
    <s v="LITRO"/>
    <n v="6000"/>
    <n v="0"/>
    <n v="2400000"/>
    <x v="5"/>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VINAGRE BLANCO PARA REALIZAR LIMPIEZA DE PISOS"/>
    <n v="76"/>
    <s v="LITRO"/>
    <n v="3170"/>
    <n v="0"/>
    <n v="240920"/>
    <x v="52"/>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GUANTES DE NITRILO "/>
    <n v="15"/>
    <s v="CAJA X 100"/>
    <n v="44000"/>
    <n v="0"/>
    <n v="660000"/>
    <x v="10"/>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BLANQUEADOR DESINFECTANTE LIQUIDO"/>
    <n v="400"/>
    <s v="LITRO"/>
    <n v="1750"/>
    <n v="0"/>
    <n v="700000"/>
    <x v="17"/>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DETERGENTE EN POLVO"/>
    <n v="100"/>
    <s v="UNIDAD"/>
    <n v="4200"/>
    <n v="0"/>
    <n v="420000"/>
    <x v="43"/>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TAPABOCAS DESECHABLES  "/>
    <n v="6500"/>
    <s v="UNIDAD"/>
    <n v="1800"/>
    <n v="0"/>
    <n v="11700000"/>
    <x v="3"/>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ALCOHOL GLICERINADO AL 92%"/>
    <n v="400"/>
    <s v="LITRO"/>
    <n v="11000"/>
    <n v="0"/>
    <n v="4400000"/>
    <x v="45"/>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JABON LIQUIDO ANTIBACTERIAL"/>
    <n v="400"/>
    <s v="LITRO"/>
    <n v="6000"/>
    <n v="0"/>
    <n v="2400000"/>
    <x v="5"/>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VINAGRE BLANCO PARA REALIZAR LIMPIEZA DE PISOS"/>
    <n v="114"/>
    <s v="LITRO"/>
    <n v="3170"/>
    <n v="0"/>
    <n v="361380"/>
    <x v="52"/>
  </r>
  <r>
    <x v="18"/>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BLANQUEADOR DESINFECTANTE LIQUIDO"/>
    <n v="379"/>
    <s v="LITRO"/>
    <n v="1849"/>
    <n v="0"/>
    <n v="700771"/>
    <x v="17"/>
  </r>
  <r>
    <x v="18"/>
    <s v="ADICION LP 02 DE 2019"/>
    <s v="EL SERVICIO DE ASEO Y MANTENIMIENTO BÁSICO, CON INSUMOS Y MAQUINARIA INCLUIDA, LIMPIEZA DE JARDINES Y EQUIPOS PARA LAS SEDES JUDICIALES QUE CONFORMAN EL DISTRITO JUDICIAL DE SINCELEJO"/>
    <d v="2019-11-01T00:00:00"/>
    <d v="2020-05-29T00:00:00"/>
    <n v="0"/>
    <n v="31068000"/>
    <s v="DON ASEO LTDA"/>
    <n v="812000152"/>
    <s v="TOALLAS DESECHABLES PARA MANOS EN Z"/>
    <n v="672"/>
    <s v="PAQUETE X 150"/>
    <n v="4000"/>
    <n v="0"/>
    <n v="2688000"/>
    <x v="8"/>
  </r>
  <r>
    <x v="19"/>
    <s v="007 de 2020 "/>
    <s v="COMPRA DE TRAJES BIOMEDICOS Y GEL ANTIBACTERIAL "/>
    <d v="2020-03-18T00:00:00"/>
    <d v="2020-03-18T00:00:00"/>
    <n v="11223366"/>
    <n v="0"/>
    <s v="TECHNICAL SOLUTIONS SAFETY SAS"/>
    <n v="901095058"/>
    <s v="TRAJES BIOMEDICOS CONTRA SALPICADIRAS Y PARTICULAS"/>
    <n v="300"/>
    <s v="UNIDAD"/>
    <n v="15000"/>
    <n v="2850"/>
    <n v="5355000"/>
    <x v="0"/>
  </r>
  <r>
    <x v="19"/>
    <s v="007 de 2020 "/>
    <s v="COMPRA DE TRAJES BIOMEDICOS Y GEL ANTIBACTERIAL "/>
    <d v="2020-03-18T00:00:00"/>
    <d v="2020-03-18T00:00:00"/>
    <n v="11223366"/>
    <n v="0"/>
    <s v="TECHNICAL SOLUTIONS SAFETY SAS"/>
    <n v="901095058"/>
    <s v="GEL ANTIBACTERIAL GLICERIADO, ALCOHOL GELA LA 65%, "/>
    <n v="160"/>
    <s v="LITRO"/>
    <n v="29571.25"/>
    <n v="5618.5375000000004"/>
    <n v="5630366"/>
    <x v="4"/>
  </r>
  <r>
    <x v="19"/>
    <s v="009 de 2020 "/>
    <s v="COMPRA DE GUANTES Y GEL ANTIBACTERIAL "/>
    <d v="2020-03-19T00:00:00"/>
    <d v="2020-03-19T00:00:00"/>
    <n v="29028000"/>
    <n v="0"/>
    <s v="FUNDACION GENERACIONES DE PAZ "/>
    <n v="900837029"/>
    <s v="GEL ANTIBACTERIAL EN PRESENTACION DE "/>
    <n v="200"/>
    <s v="LITRO"/>
    <n v="25000"/>
    <n v="4750"/>
    <n v="5950000"/>
    <x v="4"/>
  </r>
  <r>
    <x v="19"/>
    <s v="009 de 2020 "/>
    <s v="COMPRA DE GUANTES Y GEL ANTIBACTERIAL "/>
    <d v="2020-03-19T00:00:00"/>
    <d v="2020-03-19T00:00:00"/>
    <n v="29028000"/>
    <n v="0"/>
    <s v="FUNDACION GENERACIONES DE PAZ "/>
    <n v="900837029"/>
    <s v="DISPENSADORES PLASTICOS CON GEL, EN PRESENTACION POR 500 MILILITROS"/>
    <n v="100"/>
    <s v="LITRO"/>
    <n v="60000"/>
    <n v="11400"/>
    <n v="7140000"/>
    <x v="12"/>
  </r>
  <r>
    <x v="19"/>
    <s v="009 de 2020 "/>
    <s v="COMPRA DE GUANTES Y GEL ANTIBACTERIAL "/>
    <d v="2020-03-19T00:00:00"/>
    <d v="2020-03-19T00:00:00"/>
    <n v="29028000"/>
    <n v="0"/>
    <s v="FUNDACION GENERACIONES DE PAZ "/>
    <n v="900837029"/>
    <s v="TAPABOCAS DESECHABLES "/>
    <n v="9300"/>
    <s v="UNIDAD"/>
    <n v="1394.9579831932774"/>
    <n v="265.0420168067227"/>
    <n v="15438000"/>
    <x v="3"/>
  </r>
  <r>
    <x v="19"/>
    <s v="016 de 2020 "/>
    <s v="COMPRA DE ALCOHOL ETÍLICO "/>
    <d v="2020-04-29T00:00:00"/>
    <d v="2020-05-01T00:00:00"/>
    <n v="5747700"/>
    <n v="0"/>
    <s v="CONSORCIO LIDER 2019 "/>
    <n v="901346165"/>
    <s v="ALCOHOL ANTISEPTICO AL 70% EN PRESENTACION DE GALON DE 3750 ML"/>
    <n v="735"/>
    <s v="LITRO"/>
    <n v="7820"/>
    <n v="0"/>
    <n v="5747700"/>
    <x v="20"/>
  </r>
  <r>
    <x v="19"/>
    <s v="020 de 2020 "/>
    <s v="COMPRA DE 1254 PAQUETES DE TOALLAS DE PAPEL DESECHABLES POR 150 UNIDADES"/>
    <d v="2020-05-13T00:00:00"/>
    <d v="2020-05-15T00:00:00"/>
    <n v="7796118"/>
    <n v="0"/>
    <s v="INSMEVET S de C. "/>
    <n v="900311030"/>
    <s v="TOALLAS DE PAPEL DESECHABLES PARA MANOS EN PRESENTACION DE PAQUETE POR 150 UNIDADES"/>
    <n v="1254"/>
    <s v="PAQUETE X 150"/>
    <n v="6216.9999989999997"/>
    <n v="0"/>
    <n v="7796117.9987459993"/>
    <x v="8"/>
  </r>
  <r>
    <x v="19"/>
    <s v="024 de 2020 "/>
    <s v="COMPRA DE 4000 MASCARILLAS DE TELA LAVABLES"/>
    <d v="2020-05-15T00:00:00"/>
    <d v="2020-05-18T00:00:00"/>
    <n v="13396000"/>
    <n v="0"/>
    <s v="COMERCILIZADORA ARTURO CALLE S.A.S"/>
    <n v="900342297"/>
    <s v="MASCARILLA DE TELA LAVABLE HASTA 60 LAVADAS"/>
    <n v="4000"/>
    <s v="UNIDAD"/>
    <n v="3349"/>
    <n v="0"/>
    <n v="13396000"/>
    <x v="3"/>
  </r>
  <r>
    <x v="19"/>
    <s v="025 de 2020 "/>
    <s v="COMPRA DE 14 TERMOMETROS DIGITALES"/>
    <d v="2020-05-21T00:00:00"/>
    <d v="2020-05-21T00:00:00"/>
    <n v="9028390"/>
    <n v="0"/>
    <s v="INTEGRATE SOLUCIONES DE ELECTRONICA Y SOFTWARE SAS"/>
    <n v="900676378"/>
    <s v="TERMOMETRO INFRAROJO PARA MEDICION DE TEMPERATURA CORPORAL DE MAYOR SENSIBILIDAD ENTRE 5 Y 15 CENTIMETRO, PARA EVITAR EL CONTACTO ESTRECHO, MEDICION DE TEMPERATURA SOBRE SUPERFICIES"/>
    <n v="14"/>
    <s v="UNIDAD"/>
    <n v="583600"/>
    <n v="0"/>
    <n v="8170400"/>
    <x v="21"/>
  </r>
  <r>
    <x v="19"/>
    <s v="025 de 2020 "/>
    <s v="COMPRA DE 14 TERMOMETROS DIGITALES"/>
    <d v="2020-05-21T00:00:00"/>
    <d v="2020-05-21T00:00:00"/>
    <n v="9028390"/>
    <n v="0"/>
    <s v="INTEGRATE SOLUCIONES DE ELECTRONICA Y SOFTWARE SAS"/>
    <n v="900676378"/>
    <s v="CARGADOR Y BATERIAS RECARGABLES CON DURACION DE 1000 CICLOS, APROXIMADAMENTE 3 AÑOS"/>
    <n v="14"/>
    <s v="UNIDAD"/>
    <n v="51500"/>
    <n v="9785"/>
    <n v="857990"/>
    <x v="34"/>
  </r>
  <r>
    <x v="19"/>
    <s v="029 de 2020 "/>
    <s v="COMPRA DE CIENTO VEINTE (120) BOTELLAS DE 750 ML Y OCHENTA (80) GALONES DE 3750 ML DE ALCOHOL ETÍLICO AL 70%"/>
    <d v="2020-05-28T00:00:00"/>
    <d v="2020-06-01T00:00:00"/>
    <n v="3040254"/>
    <n v="0"/>
    <s v="CONSORCIO LIDER 2019 "/>
    <n v="901346165"/>
    <s v="ALCOHOL ANTISEPTICO AL 70% EN PRESENTACION DE  750 ML"/>
    <n v="100"/>
    <s v="LITRO"/>
    <n v="7152.54"/>
    <n v="0"/>
    <n v="715254"/>
    <x v="20"/>
  </r>
  <r>
    <x v="19"/>
    <s v="029 de 2020 "/>
    <s v="COMPRA DE CIENTO VEINTE (120) BOTELLAS DE 750 ML Y OCHENTA (80) GALONES DE 3750 ML DE ALCOHOL ETÍLICO AL 70%"/>
    <d v="2020-05-28T00:00:00"/>
    <d v="2020-06-01T00:00:00"/>
    <n v="3040254"/>
    <n v="0"/>
    <s v="CONSORCIO LIDER 2019 "/>
    <n v="901346165"/>
    <s v="ALCOHOL ANTISEPTICO AL 70% EN PRESENTACION DE 3750 ML"/>
    <n v="300"/>
    <s v="LITRO"/>
    <n v="7750"/>
    <n v="0"/>
    <n v="2325000"/>
    <x v="20"/>
  </r>
  <r>
    <x v="19"/>
    <s v="032 de 2020 "/>
    <s v="LA COMPRA DE CIENTO SESENTA Y TRES (163) CAJAS DE GUANTES DE NITRILO, POR 100 UNIDADES CADA UNA"/>
    <d v="2020-06-03T00:00:00"/>
    <d v="2020-06-03T00:00:00"/>
    <n v="7742500"/>
    <n v="0"/>
    <s v="ADRIAN SUAREZ GARCIA "/>
    <n v="1057514074"/>
    <s v="GUANTES DE NITRILO EN PRESENTACION DE CAJA POR 100 UNIDADES"/>
    <n v="163"/>
    <s v="CAJA X 100"/>
    <n v="47500"/>
    <n v="0"/>
    <n v="7742500"/>
    <x v="10"/>
  </r>
  <r>
    <x v="19"/>
    <s v="033  de 2020 "/>
    <s v="LA COMPRA DE QUINCE (15) DISPENSADORES DE PEDAL EN ACERO INOXIDABLE"/>
    <d v="2020-06-03T00:00:00"/>
    <d v="2020-06-03T00:00:00"/>
    <n v="2231250"/>
    <n v="0"/>
    <s v="ACCEVID S.A.S"/>
    <n v="900112885"/>
    <s v="DISPENSADOR PARA GEL DE PEDAL EN ACERO ACERO INOXIDABLE PARA EMPOTRAR A LA PARED"/>
    <n v="15"/>
    <s v="UNIDAD"/>
    <n v="125000"/>
    <n v="23750"/>
    <n v="2231250"/>
    <x v="12"/>
  </r>
  <r>
    <x v="19"/>
    <s v="034  de 2020 "/>
    <s v="LA COMPRA DE JABON ANTIBACTERIAL "/>
    <d v="2020-06-05T00:00:00"/>
    <d v="2020-06-05T00:00:00"/>
    <n v="2485303.5"/>
    <n v="0"/>
    <s v="AESTHETICS &amp; MEDICAL SOLUTIONS SAS"/>
    <n v="900567130"/>
    <s v="JABON DISPENSADOR PARA MANOS EN PRESENTACION DE  3785 C.C."/>
    <n v="562"/>
    <s v="LITRO"/>
    <n v="4422.2482206405693"/>
    <n v="0"/>
    <n v="2485303.5"/>
    <x v="5"/>
  </r>
  <r>
    <x v="19"/>
    <s v="035  de 2020 "/>
    <s v="LA COMPRA DE MIL SEISCIENTAS (1600) CARETAS VISOR"/>
    <d v="2020-06-12T00:00:00"/>
    <d v="2020-06-12T00:00:00"/>
    <n v="11313136"/>
    <n v="0"/>
    <s v="PLASTICOS FENIX SAS"/>
    <n v="890307682"/>
    <s v="CARETAS VISORES - PROTECTOR FACIAL"/>
    <n v="1600"/>
    <s v="UNIDAD"/>
    <n v="7070.71"/>
    <n v="0"/>
    <n v="11313136"/>
    <x v="11"/>
  </r>
  <r>
    <x v="19"/>
    <s v="037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0T00:00:00"/>
    <d v="2020-06-23T00:00:00"/>
    <n v="8000000"/>
    <n v="0"/>
    <s v="SANDRA MILENA BARRERA SALAMANCA"/>
    <n v="46674022"/>
    <s v="PERSONAL DE APOYO VIGIAS DE SALUD PARA VELAR POR EL CUMPLIENTO DE PROTOCOLOS DE BIOSEGURIDAD (POR 5 MESES)"/>
    <n v="1"/>
    <s v="VALOR MENSUAL POR PERSONA"/>
    <n v="1600000"/>
    <n v="0"/>
    <n v="8000000"/>
    <x v="6"/>
  </r>
  <r>
    <x v="19"/>
    <s v="038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0T00:00:00"/>
    <d v="2020-06-23T00:00:00"/>
    <n v="8000000"/>
    <n v="0"/>
    <s v="LISETH JOHANNA SIERRA LOPEZ"/>
    <n v="1057600328"/>
    <s v="PERSONAL DE APOYO VIGIAS DE SALUD PARA VELAR POR EL CUMPLIENTO DE PROTOCOLOS DE BIOSEGURIDAD (POR 5 MESES)"/>
    <n v="1"/>
    <s v="VALOR MENSUAL POR PERSONA"/>
    <n v="1600000"/>
    <n v="0"/>
    <n v="8000000"/>
    <x v="6"/>
  </r>
  <r>
    <x v="19"/>
    <s v="039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0T00:00:00"/>
    <d v="2020-06-23T00:00:00"/>
    <n v="8000000"/>
    <n v="0"/>
    <s v="DAYANA FERNANDA CORREA SUESCUN "/>
    <n v="1049620718"/>
    <s v="PERSONAL DE APOYO VIGIAS DE SALUD PARA VELAR POR EL CUMPLIENTO DE PROTOCOLOS DE BIOSEGURIDAD (POR 5 MESES)"/>
    <n v="1"/>
    <s v="VALOR MENSUAL POR PERSONA"/>
    <n v="1600000"/>
    <n v="0"/>
    <n v="8000000"/>
    <x v="6"/>
  </r>
  <r>
    <x v="19"/>
    <s v="040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3T00:00:00"/>
    <d v="2020-06-24T00:00:00"/>
    <n v="8000000"/>
    <n v="0"/>
    <s v="ELIANA VIRGINIA SIERRA ORTEGON"/>
    <n v="1002523080"/>
    <s v="PERSONAL DE APOYO VIGIAS DE SALUD PARA VELAR POR EL CUMPLIENTO DE PROTOCOLOS DE BIOSEGURIDAD (POR 5 MESES)"/>
    <n v="1"/>
    <s v="VALOR MENSUAL POR PERSONA"/>
    <n v="1600000"/>
    <n v="0"/>
    <n v="8000000"/>
    <x v="6"/>
  </r>
  <r>
    <x v="19"/>
    <s v="041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4T00:00:00"/>
    <d v="2020-06-25T00:00:00"/>
    <n v="8000000"/>
    <n v="0"/>
    <s v="LUISA LILIANA PIAMONTE PULIDO"/>
    <n v="1055312482"/>
    <s v="PERSONAL DE APOYO VIGIAS DE SALUD PARA VELAR POR EL CUMPLIENTO DE PROTOCOLOS DE BIOSEGURIDAD (POR 5 MESES)"/>
    <n v="1"/>
    <s v="VALOR MENSUAL POR PERSONA"/>
    <n v="1600000"/>
    <n v="0"/>
    <n v="8000000"/>
    <x v="6"/>
  </r>
  <r>
    <x v="19"/>
    <s v="042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30T00:00:00"/>
    <d v="2020-11-29T00:00:00"/>
    <n v="8000000"/>
    <n v="0"/>
    <s v="LUISA FERNANDA GUIO DE LA FUENTE"/>
    <n v="46385024"/>
    <s v="PERSONAL DE APOYO VIGIAS DE SALUD PARA VELAR POR EL CUMPLIENTO DE PROTOCOLOS DE BIOSEGURIDAD (POR 5 MESES)"/>
    <n v="1"/>
    <s v="VALOR MENSUAL POR PERSONA"/>
    <n v="1600000"/>
    <n v="0"/>
    <n v="8000000"/>
    <x v="6"/>
  </r>
  <r>
    <x v="19"/>
    <s v="043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01T00:00:00"/>
    <d v="2020-11-30T00:00:00"/>
    <n v="8000000"/>
    <n v="0"/>
    <s v="PAULA ANDREA MARTINEZ SANDOVAL"/>
    <n v="46369935"/>
    <s v="PERSONAL DE APOYO VIGIAS DE SALUD PARA VELAR POR EL CUMPLIENTO DE PROTOCOLOS DE BIOSEGURIDAD (POR 5 MESES)"/>
    <n v="1"/>
    <s v="VALOR MENSUAL POR PERSONA"/>
    <n v="1600000"/>
    <n v="0"/>
    <n v="8000000"/>
    <x v="6"/>
  </r>
  <r>
    <x v="19"/>
    <s v="044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01T00:00:00"/>
    <d v="2020-11-30T00:00:00"/>
    <n v="8000000"/>
    <n v="0"/>
    <s v="ANA MIREYA GALLO FUENTES"/>
    <n v="1052314062"/>
    <s v="PERSONAL DE APOYO VIGIAS DE SALUD PARA VELAR POR EL CUMPLIENTO DE PROTOCOLOS DE BIOSEGURIDAD (POR 5 MESES)"/>
    <n v="1"/>
    <s v="VALOR MENSUAL POR PERSONA"/>
    <n v="1600000"/>
    <n v="0"/>
    <n v="8000000"/>
    <x v="6"/>
  </r>
  <r>
    <x v="19"/>
    <s v="045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06T00:00:00"/>
    <d v="2020-12-05T00:00:00"/>
    <n v="8000000"/>
    <n v="0"/>
    <s v="GENNY LIZETH ESPINOSA SAENZ"/>
    <n v="23783733"/>
    <s v="PERSONAL DE APOYO VIGIAS DE SALUD PARA VELAR POR EL CUMPLIENTO DE PROTOCOLOS DE BIOSEGURIDAD (POR 5 MESES)"/>
    <n v="1"/>
    <s v="VALOR MENSUAL POR PERSONA"/>
    <n v="1600000"/>
    <n v="0"/>
    <n v="8000000"/>
    <x v="6"/>
  </r>
  <r>
    <x v="19"/>
    <s v="050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29T00:00:00"/>
    <d v="2020-12-28T00:00:00"/>
    <n v="8000000"/>
    <n v="0"/>
    <s v="DORA MERCEDES DAZA CORDOBA"/>
    <n v="23427767"/>
    <s v="PERSONAL DE APOYO VIGIAS DE SALUD PARA VELAR POR EL CUMPLIENTO DE PROTOCOLOS DE BIOSEGURIDAD (POR 5 MESES)"/>
    <n v="1"/>
    <s v="VALOR MENSUAL POR PERSONA"/>
    <n v="1600000"/>
    <n v="0"/>
    <n v="8000000"/>
    <x v="6"/>
  </r>
  <r>
    <x v="20"/>
    <n v="1"/>
    <s v="CONTRATAR EN NOMBRE DE LA NACIÓN-CONSEJO SUPERIOR DE LA JUDICATURA - DIRECCIÓN EJECUTIVA SECCIONAL DE ADMINISTRACIÓN JUDICIAL DE VALLEDUPAR- LA ADQUISICIÓN DE TRAJES DE BIOSEGURIDAD PARA LA PREVENCIÓN DEL CONTAGIO DEL CORONAVIRUS COVID-19 "/>
    <d v="2020-04-07T00:00:00"/>
    <d v="2020-04-15T00:00:00"/>
    <n v="4522000"/>
    <n v="0"/>
    <s v="TECHNICAL SOLUTIONS SAFETY S.A.S. "/>
    <n v="901095058"/>
    <s v="TRAJE DE BIOSEGURIDAD: EN DISEÑO DE OVEROL CON_x000a_CAPUCHA, COLOR BLANCO. ELABORADO EN MATERIAL_x000a_POLIETILENO Y POLIPROPILENO, PERMEABLE, RESISTENTE A TODO_x000a_TIPO DE FLUIDOS."/>
    <n v="200"/>
    <s v="UNIDAD"/>
    <n v="19000"/>
    <n v="3610"/>
    <n v="4522000"/>
    <x v="0"/>
  </r>
  <r>
    <x v="20"/>
    <n v="2"/>
    <s v="CONTRATAR EN NOMBRE DE LA NACIÓN - CONSEJO SUPERIOR DE LA JUDICATURA- DIRECCIÓN EJECUTIVA SECCIONAL DE ADMINISTRACIÓN JUDICIAL DE VALLEDUPAR, LA ADQUISICIÓN DE TAPA BOCAS DESECHABLES PARA LA PREVENCIÓN DEL CONTAGIO DEL CORONAVIRUS COVID-19"/>
    <d v="2020-04-10T00:00:00"/>
    <d v="2020-04-15T00:00:00"/>
    <n v="21896000"/>
    <n v="0"/>
    <s v="SERVICIO DE REHABILITACIÓN &amp; SALUD OCUPACIONAL SAS – SERFIS SAS"/>
    <n v="900712491"/>
    <s v="250 CAJAS DE TAPABOCAS  EN LA CIUDAD DE VALLEDUPAR Y 150 EN LA CIUDAD DE RIOHACHA DTC LA GUAJIRA, TAPA BOCAS DESECHABLES TRIPLE PROTECCIÓN CON REGISTRO INVIMA "/>
    <n v="20000"/>
    <s v="UNIDAD"/>
    <n v="920"/>
    <n v="174.8"/>
    <n v="21896000"/>
    <x v="3"/>
  </r>
  <r>
    <x v="20"/>
    <n v="3"/>
    <s v="CONTRATAR EN NOMBRE DE LA NACIÓN - CONSEJO SUPERIOR DE LA JUDICATURA - DIRECCIÓN EJECUTIVA SECCIONAL DE ADMINISTRACIÓN JUDICIAL DE VALLEDUPAR, LA COMPRA DE GUANTES DESECHABLES PARA LA PREVENCIÓN DEL CONTAGIO DEL CORONAVIRUS COVID-19"/>
    <d v="2020-04-13T00:00:00"/>
    <d v="2020-04-15T00:00:00"/>
    <n v="5650000"/>
    <n v="0"/>
    <s v="DISTRIBUIDORA MATERIAL DENTAL EL MOLAR Y/O GILMA RODRIGUEZ LÓPEZ"/>
    <n v="34535703"/>
    <s v="GUANTES DESECHABLES DE LATEX AMBIDIESTROS, TALLA M"/>
    <n v="200"/>
    <s v="CAJA X 100"/>
    <n v="28250"/>
    <n v="0"/>
    <n v="5650000"/>
    <x v="18"/>
  </r>
  <r>
    <x v="20"/>
    <n v="4"/>
    <s v="CONTRATAR EN NOMBRE DE LA NACIÓN - CONSEJO SUPERIOR DE LA JUDICATURA - DIRECCIÓN EJECUTIVA SECCIONAL DE ADMINISTRACIÓN JUDICIAL DE VALLEDUPAR, LA COMPRA DE ALCOHOL ANTISEPTICO PARA LA PREVENCIÓN DEL CONTAGIO DEL CORONAVIRUS COVID-19"/>
    <d v="2020-04-24T00:00:00"/>
    <d v="2020-04-27T00:00:00"/>
    <n v="2580000"/>
    <n v="0"/>
    <s v="GRUPO GAOS S.A.S"/>
    <n v="901322759"/>
    <s v="ALCOHOL AL 70% ANTISÉPTICO PARA LA PREVENCIÓN DEL CONTAGIO DEL CORONAVIRUS COVID-19. !80 LITROS PARA LA SECCIONAL VALLEDUPAR Y 120 LITROS PARA LA OFICINA DE COORDINACIÓN ADMINISTRATIVA DE RIOHACHA( LA FUENTE DE INFORMACIÓN EL FORMATO DE ESTUDIOS PREVIOS)"/>
    <n v="300"/>
    <s v="LITRO"/>
    <n v="8600"/>
    <n v="0"/>
    <n v="2580000"/>
    <x v="20"/>
  </r>
  <r>
    <x v="20"/>
    <s v="O.C. 47925"/>
    <s v="ADQUISICIÓN DE ELEMENTOS DE ASEO (TOALLAS Y JABÓN PARA MANOS) PARA PREVENIR LA PROPAGACIÓN DEL COVID-19 EN EL DEPARTAMENTO DEL CESAR Y DEPARTAMENTO DE LA GUAJIRA"/>
    <d v="2020-05-04T00:00:00"/>
    <d v="2020-05-04T00:00:00"/>
    <n v="12251660.609999999"/>
    <n v="0"/>
    <s v="SUMIMAS S.A.S"/>
    <n v="83001338"/>
    <s v="TOALLAS PARA MANOS 4 CODIGO PA 60, (PAQUETE MÍNIMO DE 50 UNIDADES), DISTRIBUIDAS ASI: 850 PARA LA SECCIONAL VALLEDUPAR Y 460 PARA COORDINACIÓN ADMINISTRATIVA DE RIOHACHA._x000a_"/>
    <n v="1310"/>
    <s v="PAQUETE X 150"/>
    <n v="5880.21"/>
    <n v="1117.2399"/>
    <n v="9166659.368999999"/>
    <x v="8"/>
  </r>
  <r>
    <x v="20"/>
    <s v="O.C. 47925"/>
    <s v="ADQUISICIÓN DE ELEMENTOS DE ASEO (TOALLAS Y JABÓN PARA MANOS) PARA PREVENIR LA PROPAGACIÓN DEL COVID-19 EN EL DEPARTAMENTO DEL CESAR Y DEPARTAMENTO DE LA GUAJIRA"/>
    <d v="2020-05-04T00:00:00"/>
    <d v="2020-05-04T00:00:00"/>
    <n v="12251660.609999999"/>
    <n v="0"/>
    <s v="SUMIMAS S.A.S"/>
    <n v="83001338"/>
    <s v="JABÓN DISPENSADOR PARA MANOS 2 CÓDIGO PA 30, LÍQUIDO EN RECIPIENTE PLÁSTICO CON CAPACIDAD MÁXIMA DE 3785 CC, DISTRIBUIDOS ASÍ: 100 PARA LA SECCIONAL DE VALLEDUPAR Y 100 PARA COORDINACIÓN ADMINISTRATIVA DE RIOHACHA  "/>
    <n v="800"/>
    <s v="LITRO"/>
    <n v="3856.25"/>
    <n v="0"/>
    <n v="3085000"/>
    <x v="5"/>
  </r>
  <r>
    <x v="20"/>
    <s v="O.C. 47926"/>
    <s v="ADQUISICIÓN DE ELEMENTOS DE ASEO (GEL ANTIBACTERIAL) PARA PREVENIR LA PROPAGACIÓN DEL COVID-19 EN EL DEPARTAMENTO DEL CESAR Y DEPARTAMENTO DE LA GUAJIRA"/>
    <d v="2020-05-04T00:00:00"/>
    <d v="2020-05-04T00:00:00"/>
    <n v="29306033.280000001"/>
    <n v="0"/>
    <s v="FABIAN PEREZ"/>
    <n v="80736955"/>
    <s v="GEL ANTIBACTERIAL FCX1LT - ALCOHOLISOPROPILICO 70% EN GEL PARA ANTISEPSIA DE MANOS ALCOHOL ISOPROPILICO EN GEL PARA ANTISEPSIA DE MANOS, 70ML+2G/100ML"/>
    <n v="1656"/>
    <s v="LITRO"/>
    <n v="17696.88"/>
    <n v="0"/>
    <n v="29306033.280000001"/>
    <x v="4"/>
  </r>
  <r>
    <x v="20"/>
    <s v="O.C. 48153"/>
    <s v="COMPRA TAPA BOCAS DESECHABLES PARA PREVENIR LA PROPAGACIÓN DEL COVID-19 EN EL DEPARTAMENTO DEL CESAR "/>
    <d v="2020-05-07T00:00:00"/>
    <d v="2020-05-07T00:00:00"/>
    <n v="5095000"/>
    <n v="0"/>
    <s v="FABIAN PEREZ"/>
    <n v="80736955"/>
    <s v="TAPA BOCAS, DESECHABLE, CON RESORTE A LA OREJA, DOBLE FILTRO, ADAPTADOR NASAL AJUSTABLE, CAJA POR 100 UNIDADES. "/>
    <n v="5000"/>
    <s v="UNIDAD"/>
    <n v="989"/>
    <n v="0"/>
    <n v="4945000"/>
    <x v="3"/>
  </r>
  <r>
    <x v="20"/>
    <s v="O.C. 48437"/>
    <s v="COMPRA TAPA BOCAS DESECHABLES PARA PREVENIR LA PROPAGACIÓN DEL COVID-19 EN EL DEPARTAMENTO DEL CESAR Y DEPARTAMENTO DE LA GUAJIRA"/>
    <d v="2020-05-14T00:00:00"/>
    <d v="2020-05-14T00:00:00"/>
    <n v="71093750"/>
    <n v="0"/>
    <s v="GRUPO CRUZ VELASQUEZ"/>
    <n v="901243179"/>
    <s v="TAPABOCAS DESECHABLE, CON RESORTE A LA OREJA , DOBLE FILTRO, ADAPTADOR NASAL AJUSTABLE, EN ALGODÓN.CANTIDAD DISTRIBUIDA ASÍ: VALLEDUPAR 500 CAJAS Y RIOHACHA  250 CAJAS "/>
    <n v="75000"/>
    <s v="UNIDAD"/>
    <n v="937.5"/>
    <n v="0"/>
    <n v="70312500"/>
    <x v="3"/>
  </r>
  <r>
    <x v="20"/>
    <s v="O.C. 48445"/>
    <s v="ADQUISICION DE ELEMENTOS DE ASEO (DESINFECTANTE A BASE DE CLORO) PARA PREVENIR LA PROPAGACIÓN DEL COVID-19 EN EL DEPARTAMENTO DEL CESAR Y DEPARTAMENTO DE LA GUAJIRA"/>
    <d v="2020-05-14T00:00:00"/>
    <d v="2020-05-14T00:00:00"/>
    <n v="11910547.07"/>
    <n v="0"/>
    <s v="PMI PROYECTOS MONTAJES E INGENIERIA"/>
    <n v="90070405"/>
    <s v="PRODUCTOS DE HIGIENE DOMÉSTICA CON PROPIEDAD DESINFECTANTE DE SUPERFICIE A BASE DE CLORO (EN ESPECIAL, FORMULADOS CON HIPOCLORITO DE SODIO). – GALÓN. CANTIDAD DISTRIBUIDA ASI: VALLEDUPAR 668 Y RIOHACHA  412"/>
    <n v="2316"/>
    <s v="LITRO"/>
    <n v="2588.2824999999998"/>
    <n v="0"/>
    <n v="5994462.2699999996"/>
    <x v="43"/>
  </r>
  <r>
    <x v="20"/>
    <s v="O.C. 48447"/>
    <s v="ADQUISICIÓN DE ELEMENTOS DE ASEO (GEL ANTIBACTERIAL) PARA PREVENIR LA PROPAGACIÓN DEL COVID-19 EN EL DEPARTAMENTO DEL CESAR "/>
    <d v="2020-05-14T00:00:00"/>
    <d v="2020-05-14T00:00:00"/>
    <n v="3784376"/>
    <n v="0"/>
    <s v="INDUHOTEL SAS"/>
    <n v="900300970"/>
    <s v="GEL ANTIBACTERIAL FCX1LT – ALCOHOL ISOPROPILICO 70% EN GEL PARA ANTISEPSIA DE MANOS ALCOHOL ISOPROPILICO EN GEL PARA ANTISEPSIA DE MANOS, 70ML+2G/100ML"/>
    <n v="200"/>
    <s v="LITRO"/>
    <n v="18921.88"/>
    <n v="0"/>
    <n v="3784376"/>
    <x v="4"/>
  </r>
  <r>
    <x v="20"/>
    <s v="O.C. 48448"/>
    <s v="ADQUISICIÓN DE ELEMENTOS DE ASEO (JABÓN DISPENSADOR PARA MANOS) PARA PREVENIR LA PROPAGACIÓN DEL COVID-19 EN EL DEPARTAMENTO DEL CESAR "/>
    <d v="2020-05-14T00:00:00"/>
    <d v="2020-05-14T00:00:00"/>
    <n v="10113019.77"/>
    <n v="0"/>
    <s v="PAPER BOX SAS"/>
    <n v="900791672"/>
    <s v="JABÓN DISPENSADOR PARA MANOS 2 – LIQUIDO, EN RECIPIENTE PLÁSTICO CON CAPACIDAD MÍNIMA DE 3.785 CC"/>
    <n v="1276"/>
    <s v="LITRO"/>
    <n v="5598.9575000000004"/>
    <n v="0"/>
    <n v="7144269.7700000005"/>
    <x v="5"/>
  </r>
  <r>
    <x v="20"/>
    <n v="5"/>
    <s v="CONTRATAR EN NOMBRE DE LA NACIÓN -CONSEJO SUPERIOR DE LA JUDICATURA- DIRECCIÓN EJECUTIVA SECCIONAL DE ADMINISTRACIÓN JUDICIAL DE VALLEDUPAR LA COMPRA DE TERMÓMETROS Y OTROS ELEMENTOS PARA LA CONTENCIÓN DE LA PANDEMIA PRODUCIDA POR EL CORONAVIRUS COVID-19"/>
    <d v="2020-05-18T00:00:00"/>
    <d v="2020-05-20T00:00:00"/>
    <n v="20065000"/>
    <n v="0"/>
    <s v="NESTOR JAVIER GÓMEZ FRAGOZO y/o SISTEMAS INTELIGENTES"/>
    <n v="77188846"/>
    <s v="TERMÓMETROS INFRAROJO PARA  SECCIONAL DE VALLEDUPAR Y RIOHACHA "/>
    <n v="50"/>
    <s v="UNIDAD"/>
    <n v="350000"/>
    <n v="0"/>
    <n v="17500000"/>
    <x v="21"/>
  </r>
  <r>
    <x v="20"/>
    <n v="5"/>
    <s v="CONTRATAR EN NOMBRE DE LA NACIÓN -CONSEJO SUPERIOR DE LA JUDICATURA- DIRECCIÓN EJECUTIVA SECCIONAL DE ADMINISTRACIÓN JUDICIAL DE VALLEDUPAR LA COMPRA DE TERMÓMETROS Y OTROS ELEMENTOS PARA LA CONTENCIÓN DE LA PANDEMIA PRODUCIDA POR EL CORONAVIRUS COVID-19"/>
    <d v="2020-05-18T00:00:00"/>
    <d v="2020-05-20T00:00:00"/>
    <n v="20065000"/>
    <n v="0"/>
    <s v="NESTOR JAVIER GÓMEZ FRAGOZO y/o SISTEMAS INTELIGENTES"/>
    <n v="77188846"/>
    <s v=" 57 CINTAS ADHESIVAS PARA LA SECCIONAL VALLEDUPAR Y LA COORDINACIÓN ADMINISTRATIVA DE RIOHACHA  48 MM 33 METROS LARGO"/>
    <n v="57"/>
    <s v="ROLLO X 33 MTS"/>
    <n v="45000"/>
    <n v="0"/>
    <n v="2565000"/>
    <x v="30"/>
  </r>
  <r>
    <x v="20"/>
    <s v="O.C. 50427"/>
    <s v="CONTRATAR LA ADQUISICIÓN DE CARETAS DE PROTECCIÓN PARA PREVENIR LA PROPAGACIÓN DEL COVID-19. "/>
    <d v="2020-06-12T00:00:00"/>
    <d v="2020-06-12T00:00:00"/>
    <n v="5053127.3099999996"/>
    <n v="0"/>
    <s v="PLASTICOS FENIX SAS "/>
    <n v="890307682"/>
    <s v=" CARETAS VISORES (PROTECTOR FACIAL) - EPP-9 PARA SECCIONAL VALLEDUPAR Y COORDINACIÓN ADMINISTRATIVA DE RIOHACHA"/>
    <n v="693"/>
    <s v="UNIDAD"/>
    <n v="7291.67"/>
    <n v="0"/>
    <n v="5053127.3099999996"/>
    <x v="11"/>
  </r>
  <r>
    <x v="20"/>
    <n v="6"/>
    <s v="CONTRATAR  LA PRESTACIÓN DE SERVICIO DE APOYO A LA GESTIÓN PARA   ORIENTAR, VELAR Y HACER SEGUIMIENTO AL CUMPLIMIENTO DE LOS PROTOCOLOS DE BIOSEGURIDAD ESTABLECIDAS Y ASÍ MISMO, FORTALECER LAS MEDIDAS DE PREVENCIÓN DEL CONTAGIO Y PROPAGACIÓN DEL COVID – 19. "/>
    <d v="2020-06-18T00:00:00"/>
    <d v="2020-06-24T00:00:00"/>
    <n v="69638644"/>
    <n v="0"/>
    <s v="SERVICIOS ESPECIALES PARA EMPRESAS S.A.S  (SESPEM) R/L JOSE ALBERTO HERAZO MOLINA "/>
    <n v="80014829"/>
    <s v="CONTRATAR  15 AUXILIARES  ENCARGADAS DE LA TOMA DE TEMPERATURA CORPORAL, VERIFICACIÓN DE SÍNTOMAS, ADEMÁS DE VELAR POR EL CUMPLIMIENTO DE LOS PROTOCOLOS_x000a_DE BIOSEGURIDAD DEFINIDOS POR LA ENTIDAD, EN LAS SEDES DE MAYOR AFLUENCIA DEL DISTRITO JUDICIAL DEL DEPARTAMENTO DEL CESAR Y LA GUAJIRA. (3 MESES)"/>
    <n v="15"/>
    <s v="VALOR MENSUAL POR PERSONA"/>
    <n v="1547525.4"/>
    <n v="0"/>
    <n v="69638643"/>
    <x v="6"/>
  </r>
  <r>
    <x v="20"/>
    <s v="O.C. 51437"/>
    <s v="COMPRA DE CANECAS PARA RESIDUOS BIOLÓGICOS PARA LA CONTENCIÓN DEL VIRUS PROVOCADO POR EL COVID-19 EN LAS SEDES JUDICIALES ADSCRITAS A LA DIRECCIÓN EJECUTIVA SECCIONAL DE ADMINISTRACIÓN JUDICIAL DE VALLEDUPAR "/>
    <d v="2020-07-02T00:00:00"/>
    <d v="2020-07-02T00:00:00"/>
    <n v="4436960"/>
    <n v="0"/>
    <s v="CENCOSUD COLOMBIA S.A. "/>
    <n v="900155107"/>
    <s v="CANECAS 35 LT PEDAL"/>
    <n v="80"/>
    <s v="UNIDAD"/>
    <n v="55462"/>
    <n v="0"/>
    <n v="4436960"/>
    <x v="15"/>
  </r>
  <r>
    <x v="20"/>
    <s v="O.C. 51556"/>
    <s v="CONTRATAR LA COMPRA DE DISPENSADORES DE TOALLAS Y ATOMIZADORES PARA LAS SEDES JUDICIALES ADSCRITAS A LA DIRECCIÓN EJECUTIVA SECCIONAL DE ADMINISTRACIÓN JUDICIAL DE VALLEDUPAR, DENTRO DEL MARCO DE LA PANDEMIA PROVOCADA POR EL COVID-19."/>
    <d v="2020-07-06T00:00:00"/>
    <d v="2020-07-06T00:00:00"/>
    <n v="24633605"/>
    <n v="0"/>
    <s v="COLOMBIANA DE COMERCIO S.A Y/O ALKOSTO S.A "/>
    <n v="890900943"/>
    <s v="DISPENSADOR DE TOALLAS EN ACERO INOXIDABLE"/>
    <n v="95"/>
    <s v="UNIDAD"/>
    <n v="252339"/>
    <n v="0"/>
    <n v="23972205"/>
    <x v="12"/>
  </r>
  <r>
    <x v="20"/>
    <s v="O.C. 51556"/>
    <s v="CONTRATAR LA COMPRA DE DISPENSADORES DE TOALLAS Y ATOMIZADORES PARA LAS SEDES JUDICIALES ADSCRITAS A LA DIRECCIÓN EJECUTIVA SECCIONAL DE ADMINISTRACIÓN JUDICIAL DE VALLEDUPAR, DENTRO DEL MARCO DE LA PANDEMIA PROVOCADA POR EL COVID-19."/>
    <d v="2020-07-06T00:00:00"/>
    <d v="2020-07-06T00:00:00"/>
    <n v="24633605"/>
    <n v="0"/>
    <s v="COLOMBIANA DE COMERCIO S.A Y/O ALKOSTO S.A "/>
    <n v="890900943"/>
    <s v="ATOMIZADORES 600 ml"/>
    <n v="100"/>
    <s v="UNIDAD"/>
    <n v="6614"/>
    <n v="0"/>
    <n v="661400"/>
    <x v="42"/>
  </r>
  <r>
    <x v="21"/>
    <s v="CO1.PCCNTR.1467008"/>
    <s v="ADQUISICIÓN DE INSUMOS DE DESINFECCIÓN PARA ATENDER LA EMERGENCIA SANITARIA OCASIONADA POR EL COVID-19, CON DESTINO A LOS SERVIDORES JUDICIALES DEL DISTRITO JUDICIAL DE VILLAVICENCIO."/>
    <d v="2020-03-24T00:00:00"/>
    <d v="2020-03-24T00:00:00"/>
    <n v="6674000"/>
    <n v="0"/>
    <s v="SOLUCIONES CLEAN COLOMBIA S.A.S"/>
    <n v="901244133"/>
    <s v="GEL ANTIBACTERIAL X 1000 MILILITROS"/>
    <n v="220"/>
    <s v="LITRO"/>
    <n v="25126.050420168067"/>
    <n v="4773.9495798319331"/>
    <n v="6578000"/>
    <x v="4"/>
  </r>
  <r>
    <x v="21"/>
    <s v="CO1.PCCNTR.1467008"/>
    <s v="ADQUISICIÓN DE INSUMOS DE DESINFECCIÓN PARA ATENDER LA EMERGENCIA SANITARIA OCASIONADA POR EL COVID-19, CON DESTINO A LOS SERVIDORES JUDICIALES DEL DISTRITO JUDICIAL DE VILLAVICENCIO."/>
    <d v="2020-03-24T00:00:00"/>
    <d v="2020-03-24T00:00:00"/>
    <n v="6674000"/>
    <n v="0"/>
    <s v="SOLUCIONES CLEAN COLOMBIA S.A.S"/>
    <n v="901244133"/>
    <s v="ENVASE CON TAPA AZUL PUHS DE 250 MILILITROS"/>
    <n v="80"/>
    <s v="UNIDAD"/>
    <n v="1008.4033613445379"/>
    <n v="191.59663865546219"/>
    <n v="96000"/>
    <x v="42"/>
  </r>
  <r>
    <x v="21"/>
    <s v="CO1.PCCNTR.1472202"/>
    <s v="ADQUISICIÒN DE TRAJES DE PROTECCIÒN CORPORAL Y GAFAS DE PROTECCIÒN."/>
    <d v="2020-03-27T00:00:00"/>
    <d v="2020-03-27T00:00:00"/>
    <n v="3918700"/>
    <n v="0"/>
    <s v="DISTRIDOTAR S.A.S"/>
    <n v="900769393"/>
    <s v="TRAJES PROTECTORES DE ALTA DENSIDAD, TALLAS SURTIDAS"/>
    <n v="162"/>
    <s v="UNIDAD"/>
    <n v="18151"/>
    <n v="3448.69"/>
    <n v="3499149.78"/>
    <x v="0"/>
  </r>
  <r>
    <x v="21"/>
    <s v="CO1.PCCNTR.1472202"/>
    <s v="ADQUISICIÒN DE TRAJES DE PROTECCIÒN CORPORAL Y GAFAS DE PROTECCIÒN."/>
    <d v="2020-03-27T00:00:00"/>
    <d v="2020-03-27T00:00:00"/>
    <n v="3918700"/>
    <n v="0"/>
    <s v="DISTRIDOTAR S.A.S"/>
    <n v="900769393"/>
    <s v="GAFA PROTECTORA H019 CLARA"/>
    <n v="50"/>
    <s v="UNIDAD"/>
    <n v="7051"/>
    <n v="1339.69"/>
    <n v="419534.5"/>
    <x v="35"/>
  </r>
  <r>
    <x v="21"/>
    <s v="CO1.PCCNTR.1518075"/>
    <s v="ADQUISICIÓN DE TAPABOCAS"/>
    <d v="2020-04-22T00:00:00"/>
    <d v="2020-04-22T00:00:00"/>
    <n v="3900000"/>
    <n v="0"/>
    <s v="COOESTATAL"/>
    <n v="900536323"/>
    <s v="TAPABOCAS EN TELA QUIRÚRGICA EN TRES CAPAS, FILTRO MEDIO DE 15 GR, FILTRO INTERNO DE 30 GR, SISTEMA DE AJUSTE NASAL RECUBIERTO, ELÁSTICO DELGADO REDONDO.PAQUETE POR 50 UNIDADES"/>
    <n v="3000"/>
    <s v="UNIDAD"/>
    <n v="1300"/>
    <n v="0"/>
    <n v="3900000"/>
    <x v="3"/>
  </r>
  <r>
    <x v="21"/>
    <s v="O.C. 48432"/>
    <s v=" LA ADQUISICIÓN DE ELEMENTOS DE PROTECCIÓN PERSONAL EPP Y ELEMENTOS DE ASEO PARA LOS SERVIDORES JUDICIALES DE LOS DISTRITOS JUDICIALES DE VILLAVICENCIO. EN LAS CARACTERÍSTICAS TÉCNICAS Y DE CALIDAD REQUERIDAS POR LA ENTIDAD."/>
    <d v="2020-05-14T00:00:00"/>
    <d v="2020-05-14T00:00:00"/>
    <n v="6139500"/>
    <n v="0"/>
    <s v="INDUHOTEL SAS"/>
    <n v="900300970"/>
    <s v="GEL ANTIBACTERIAL - FRASCO DE LITRO- PA18"/>
    <n v="200"/>
    <s v="LITRO"/>
    <n v="15525"/>
    <n v="0"/>
    <n v="3105000"/>
    <x v="4"/>
  </r>
  <r>
    <x v="21"/>
    <s v="O.C. 48432"/>
    <s v=" LA ADQUISICIÓN DE ELEMENTOS DE PROTECCIÓN PERSONAL EPP Y ELEMENTOS DE ASEO PARA LOS SERVIDORES JUDICIALES DE LOS DISTRITOS JUDICIALES DE VILLAVICENCIO. EN LAS CARACTERÍSTICAS TÉCNICAS Y DE CALIDAD REQUERIDAS POR LA ENTIDAD."/>
    <d v="2020-05-14T00:00:00"/>
    <d v="2020-05-14T00:00:00"/>
    <n v="6139500"/>
    <n v="0"/>
    <s v="INDUHOTEL SAS"/>
    <n v="900300970"/>
    <s v="TOALLAS PARA MANOS  3- UNIDAD -PA 59"/>
    <n v="500"/>
    <s v="PAQUETE X 150"/>
    <n v="5100"/>
    <n v="969"/>
    <n v="3034500"/>
    <x v="8"/>
  </r>
  <r>
    <x v="21"/>
    <s v="O.C.48430"/>
    <s v=" LA ADQUISICIÓN DE ELEMENTOS DE PROTECCIÓN PERSONAL EPP Y ELEMENTOS DE ASEO PARA LOS SERVIDORES JUDICIALES DE LOS DISTRITOS JUDICIALES DE VILLAVICENCIO. EN LAS CARACTERÍSTICAS TÉCNICAS Y DE CALIDAD REQUERIDAS POR LA ENTIDAD."/>
    <d v="2020-05-14T00:00:00"/>
    <d v="2020-05-14T00:00:00"/>
    <n v="4000000"/>
    <n v="0"/>
    <s v="M.A.S EMPRESARIAL SM SAS"/>
    <n v="900401081"/>
    <s v="TAPABOCAS DOBLE TELA  LAVABLE -EPP-31 - CAJA POR 100 UNIDADES"/>
    <n v="4000"/>
    <s v="UNIDAD"/>
    <n v="1000"/>
    <n v="0"/>
    <n v="4000000"/>
    <x v="3"/>
  </r>
  <r>
    <x v="21"/>
    <s v="O.C. 48839"/>
    <s v="LA ADQUISICIÓN DE ELEMENTOS DE PROTECCIÓN PERSONAL EPP - GUANTES PARA LOS SERVIDORES JUDICIALES DE LOS DISTRITOS JUDICIALES DE VILLAVICENCIO. EN LAS CARACTERÍSTICAS TÉCNICAS Y DE CALIDAD REQUERIDAS POR LA ENTIDAD"/>
    <d v="2020-05-20T00:00:00"/>
    <d v="2020-05-20T00:00:00"/>
    <n v="3036300"/>
    <n v="0"/>
    <s v="OBIFEST S.A.S"/>
    <n v="900350133"/>
    <s v="GUANTES DE NITRILO, CAJA POR 100 UNIDADES"/>
    <n v="58"/>
    <s v="CAJA X 100"/>
    <n v="52350"/>
    <n v="0"/>
    <n v="3036300"/>
    <x v="10"/>
  </r>
  <r>
    <x v="21"/>
    <s v="O.C. 48792"/>
    <s v="LA ADQUISICIÓN DE BAYETILLAS PARA AYUDAR A LA CONTENCIÓN DEL COVID 19, CON DESTINO A LOS SERVIDORES JUDICIALES DE LOS DISTRITOS JUDICIALES DE VILLAVICENCIO. EN LAS CARACTERÍSTICAS TÉCNICAS Y DE CALIDAD REQUERIDAS POR LA ENTIDAD"/>
    <d v="2020-05-20T00:00:00"/>
    <d v="2020-05-20T00:00:00"/>
    <n v="1004360"/>
    <n v="0"/>
    <s v="PANAMERICA LIBRERÍA Y PAPELERIA  S.A"/>
    <n v="830037946"/>
    <s v="BAYETILLA ROJA 35 X 50 CMS"/>
    <n v="200"/>
    <s v="UNIDAD"/>
    <n v="1666"/>
    <n v="0"/>
    <n v="333200"/>
    <x v="22"/>
  </r>
  <r>
    <x v="21"/>
    <s v="O.C. 48792"/>
    <s v="LA ADQUISICIÓN DE BAYETILLAS PARA AYUDAR A LA CONTENCIÓN DEL COVID 19, CON DESTINO A LOS SERVIDORES JUDICIALES DE LOS DISTRITOS JUDICIALES DE VILLAVICENCIO. EN LAS CARACTERÍSTICAS TÉCNICAS Y DE CALIDAD REQUERIDAS POR LA ENTIDAD"/>
    <d v="2020-05-20T00:00:00"/>
    <d v="2020-05-20T00:00:00"/>
    <n v="1004360"/>
    <n v="0"/>
    <s v="PANAMERICA LIBRERÍA Y PAPELERIA  S.A"/>
    <n v="830037946"/>
    <s v="BAYETILLA BLANCA 35 X 50 CMS"/>
    <n v="376"/>
    <s v="UNIDAD"/>
    <n v="1785"/>
    <n v="0"/>
    <n v="671160"/>
    <x v="22"/>
  </r>
  <r>
    <x v="21"/>
    <s v="CO1.PCCNTR. 1610602"/>
    <s v="LA ADQUISICIÓN DE TERMÓMETROS INFRARROJOS Y DISPENSADORES EN GEL PARA LA CONTENCIÓN DEL COVID 19, CON DESTINO A LOS SERVIDORES JUDICIALES DEL DISTRITO JUDICIAL DE VILLAVICENCIO. EN LAS CARACTERÍSTICAS TÉCNICAS Y DE CALIDAD REQUERIDAS POR LA ENTIDAD"/>
    <d v="2020-06-04T00:00:00"/>
    <d v="2020-06-04T00:00:00"/>
    <n v="1560000"/>
    <n v="0"/>
    <s v="ELECTROMUSICAL DEL LLANO SAS"/>
    <n v="900346622"/>
    <s v="DISPENSADOR PARA GEL EN PLÁSTICO CON KIT DE INSTALACIÓN A LA PARED "/>
    <n v="30"/>
    <s v="UNIDAD"/>
    <n v="52000"/>
    <n v="0"/>
    <n v="1560000"/>
    <x v="12"/>
  </r>
  <r>
    <x v="21"/>
    <s v="CO1.PCCNTR. 1610702"/>
    <s v="LA ADQUISICIÓN DE TERMÓMETROS INFRARROJOS Y DISPENSADORES EN GEL PARA LA CONTENCIÓN DEL COVID 19, CON DESTINO A LOS SERVIDORES JUDICIALES DEL DISTRITO JUDICIAL DE VILLAVICENCIO. EN LAS CARACTERÍSTICAS TÉCNICAS Y DE CALIDAD REQUERIDAS POR LA ENTIDAD"/>
    <d v="2020-06-04T00:00:00"/>
    <d v="2020-06-04T00:00:00"/>
    <n v="3900000"/>
    <n v="0"/>
    <s v="ANALYTICA SAS "/>
    <n v="890935513"/>
    <s v="TERMÓMETRO INFRAROJO"/>
    <n v="15"/>
    <s v="UNIDAD"/>
    <n v="260000"/>
    <n v="0"/>
    <n v="3900000"/>
    <x v="21"/>
  </r>
  <r>
    <x v="21"/>
    <s v="O.C. 50837"/>
    <s v="LA ADQUISICIÓN DE CANECAS ESPECIALES, CINTA"/>
    <d v="2020-06-19T00:00:00"/>
    <d v="2020-06-19T00:00:00"/>
    <n v="3957720"/>
    <n v="0"/>
    <s v="CENCOSUD COLOMBIA SA"/>
    <n v="900155107"/>
    <s v="ROLLOS DE CINTA DOBLE FASE GRANDE"/>
    <n v="5"/>
    <s v="ROLLO X 50 MTS"/>
    <n v="126000"/>
    <n v="0"/>
    <n v="630000"/>
    <x v="30"/>
  </r>
  <r>
    <x v="21"/>
    <s v="O.C. 50837"/>
    <s v="LA ADQUISICIÓN DE CANECAS ESPECIALES, CINTA"/>
    <d v="2020-06-19T00:00:00"/>
    <d v="2020-06-19T00:00:00"/>
    <n v="3957720"/>
    <n v="0"/>
    <s v="CENCOSUD COLOMBIA SA"/>
    <n v="900155107"/>
    <s v="CANECA 35 LITROS ROJA TAPA PEDAL"/>
    <n v="60"/>
    <s v="UNIDAD"/>
    <n v="55462"/>
    <n v="0"/>
    <n v="3327720"/>
    <x v="15"/>
  </r>
  <r>
    <x v="21"/>
    <s v="O.C. 50838"/>
    <s v="ADHESIVA, BOLSAS PLÁSTICAS Y CINTA DE SEÑALIZACIÓN PARA AYUDAR A LA CONTENCIÓN DEL COVID-19, CON"/>
    <d v="2020-06-19T00:00:00"/>
    <d v="2020-06-19T00:00:00"/>
    <n v="1063680"/>
    <n v="0"/>
    <s v="PANAMERICANA LIBRERÍA Y PAPELERIA"/>
    <n v="830037946"/>
    <s v="CINTA SEÑALIZACIÓN PELIGRO ROLLO X500MT"/>
    <n v="6"/>
    <s v="ROLLO X 500 MTS"/>
    <n v="44030"/>
    <n v="0"/>
    <n v="264180"/>
    <x v="30"/>
  </r>
  <r>
    <x v="21"/>
    <s v="O.C. 50838"/>
    <s v="ADHESIVA, BOLSAS PLÁSTICAS Y CINTA DE SEÑALIZACIÓN PARA AYUDAR A LA CONTENCIÓN DEL COVID-19, CON"/>
    <d v="2020-06-19T00:00:00"/>
    <d v="2020-06-19T00:00:00"/>
    <n v="1063680"/>
    <n v="0"/>
    <s v="PANAMERICANA LIBRERÍA Y PAPELERIA"/>
    <n v="830037946"/>
    <s v="BOLSA PLASTICA.A/D ROJA 50X60CM C/L "/>
    <n v="40"/>
    <s v="PAQUETE X 100"/>
    <n v="19992"/>
    <n v="0"/>
    <n v="799680"/>
    <x v="37"/>
  </r>
  <r>
    <x v="21"/>
    <s v="O.C. 51024"/>
    <s v="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1949822"/>
    <n v="0"/>
    <s v="SUMIMAS S.A.S"/>
    <n v="830001338"/>
    <s v="ALCOHOL  FRASCO COV01-PA-1 -"/>
    <n v="265.5"/>
    <s v="LITRO"/>
    <n v="6590.666666666667"/>
    <n v="0"/>
    <n v="1749822"/>
    <x v="20"/>
  </r>
  <r>
    <x v="21"/>
    <s v="O.C. 51025"/>
    <s v="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2535000"/>
    <n v="0"/>
    <s v="AVANZA INTERNATIONAL GROUP"/>
    <n v="900505419"/>
    <s v="CARETAS VISORES (PROTECTOR FACIAL) "/>
    <n v="350"/>
    <s v="UNIDAD"/>
    <n v="6900"/>
    <n v="0"/>
    <n v="2415000"/>
    <x v="11"/>
  </r>
  <r>
    <x v="21"/>
    <s v="O.C. 51026"/>
    <s v="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2844000"/>
    <n v="0"/>
    <s v="INDUHOTEL SAS"/>
    <n v="900300970"/>
    <s v="GUANTES DE NITRILO"/>
    <n v="60"/>
    <s v="CAJA X 100"/>
    <n v="46900"/>
    <n v="0"/>
    <n v="2814000"/>
    <x v="10"/>
  </r>
  <r>
    <x v="21"/>
    <s v="O.C. 50978"/>
    <s v="LA ADQUISICIÓN DE ELEMENTOS DE PROTECCIÓN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5394001"/>
    <n v="0"/>
    <s v="SUMIMAS S.A.S"/>
    <n v="830001338"/>
    <s v="TABABOCAS DESECHABLES"/>
    <n v="6000"/>
    <s v="UNIDAD"/>
    <n v="899"/>
    <n v="0"/>
    <n v="5394000"/>
    <x v="3"/>
  </r>
  <r>
    <x v="21"/>
    <s v="O.C. 52442"/>
    <s v="ADQUISICIÓN DE CARETAS PARA AYUDAR A LA CONTENCIÓN DEL COVID 19, CON DESTINO A LOS SERVIDORES JUDICIALES DEL DISTRITO JUDICIAL DE VILLAVICENCIO. EN LAS CARACTERÍSTICAS TÉCNICAS Y DE CALIDAD REQUERIDAS POR LA ENTIDAD."/>
    <d v="2020-07-22T00:00:00"/>
    <d v="2020-07-22T00:00:00"/>
    <n v="2410000"/>
    <n v="0"/>
    <s v="CENCOSUD COLOMBIA SA"/>
    <n v="901211678"/>
    <s v="CARETAS VISORES"/>
    <n v="600"/>
    <s v="UNIDAD"/>
    <n v="3850"/>
    <n v="0"/>
    <n v="2310000"/>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7"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LEMENTO">
  <location ref="A3:B57" firstHeaderRow="1" firstDataRow="1" firstDataCol="1"/>
  <pivotFields count="16">
    <pivotField showAll="0"/>
    <pivotField showAll="0"/>
    <pivotField showAll="0"/>
    <pivotField showAll="0"/>
    <pivotField showAll="0"/>
    <pivotField numFmtId="164" showAll="0"/>
    <pivotField numFmtId="164" showAll="0"/>
    <pivotField showAll="0"/>
    <pivotField showAll="0"/>
    <pivotField showAll="0"/>
    <pivotField showAll="0"/>
    <pivotField showAll="0"/>
    <pivotField numFmtId="164" showAll="0"/>
    <pivotField showAll="0"/>
    <pivotField dataField="1" numFmtId="164" showAll="0"/>
    <pivotField axis="axisRow" showAll="0">
      <items count="54">
        <item x="19"/>
        <item x="20"/>
        <item x="45"/>
        <item x="28"/>
        <item x="14"/>
        <item x="46"/>
        <item x="23"/>
        <item x="42"/>
        <item x="16"/>
        <item x="36"/>
        <item x="22"/>
        <item x="17"/>
        <item x="37"/>
        <item x="15"/>
        <item x="11"/>
        <item x="25"/>
        <item x="48"/>
        <item x="43"/>
        <item x="32"/>
        <item x="12"/>
        <item x="13"/>
        <item x="29"/>
        <item x="35"/>
        <item x="39"/>
        <item x="4"/>
        <item x="18"/>
        <item x="10"/>
        <item x="40"/>
        <item x="1"/>
        <item x="41"/>
        <item x="47"/>
        <item x="5"/>
        <item x="9"/>
        <item x="50"/>
        <item x="26"/>
        <item x="2"/>
        <item x="44"/>
        <item x="24"/>
        <item x="49"/>
        <item x="34"/>
        <item x="27"/>
        <item x="30"/>
        <item x="38"/>
        <item x="3"/>
        <item x="33"/>
        <item x="21"/>
        <item x="8"/>
        <item x="0"/>
        <item x="6"/>
        <item x="51"/>
        <item x="52"/>
        <item x="7"/>
        <item x="31"/>
        <item t="default"/>
      </items>
    </pivotField>
  </pivotFields>
  <rowFields count="1">
    <field x="15"/>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dataFields count="1">
    <dataField name="VALOR" fld="14" baseField="0" baseItem="0" numFmtId="164"/>
  </dataFields>
  <formats count="4">
    <format dxfId="7">
      <pivotArea outline="0" collapsedLevelsAreSubtotals="1" fieldPosition="0"/>
    </format>
    <format dxfId="6">
      <pivotArea dataOnly="0" labelOnly="1" outline="0" axis="axisValues" fieldPosition="0"/>
    </format>
    <format dxfId="5">
      <pivotArea field="15" type="button" dataOnly="0" labelOnly="1" outline="0" axis="axisRow" fieldPosition="0"/>
    </format>
    <format dxfId="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7"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SECCIONAL / ELEMENTO">
  <location ref="A3:B365" firstHeaderRow="1" firstDataRow="1" firstDataCol="1"/>
  <pivotFields count="16">
    <pivotField axis="axisRow" showAll="0">
      <items count="23">
        <item x="0"/>
        <item x="1"/>
        <item x="2"/>
        <item x="3"/>
        <item x="4"/>
        <item x="5"/>
        <item x="6"/>
        <item x="7"/>
        <item x="8"/>
        <item x="9"/>
        <item x="10"/>
        <item x="11"/>
        <item x="12"/>
        <item x="13"/>
        <item x="14"/>
        <item x="15"/>
        <item x="16"/>
        <item x="17"/>
        <item x="18"/>
        <item x="19"/>
        <item x="20"/>
        <item x="21"/>
        <item t="default"/>
      </items>
    </pivotField>
    <pivotField showAll="0"/>
    <pivotField showAll="0"/>
    <pivotField showAll="0"/>
    <pivotField showAll="0"/>
    <pivotField numFmtId="164" showAll="0"/>
    <pivotField numFmtId="164" showAll="0"/>
    <pivotField showAll="0"/>
    <pivotField showAll="0"/>
    <pivotField showAll="0"/>
    <pivotField showAll="0"/>
    <pivotField showAll="0"/>
    <pivotField numFmtId="164" showAll="0"/>
    <pivotField showAll="0"/>
    <pivotField dataField="1" numFmtId="164" showAll="0"/>
    <pivotField axis="axisRow" showAll="0">
      <items count="54">
        <item x="19"/>
        <item x="20"/>
        <item x="45"/>
        <item x="28"/>
        <item x="14"/>
        <item x="46"/>
        <item x="23"/>
        <item x="42"/>
        <item x="16"/>
        <item x="36"/>
        <item x="22"/>
        <item x="17"/>
        <item x="37"/>
        <item x="15"/>
        <item x="11"/>
        <item x="25"/>
        <item x="48"/>
        <item x="43"/>
        <item x="32"/>
        <item x="12"/>
        <item x="13"/>
        <item x="29"/>
        <item x="35"/>
        <item x="39"/>
        <item x="4"/>
        <item x="18"/>
        <item x="10"/>
        <item x="40"/>
        <item x="1"/>
        <item x="41"/>
        <item x="47"/>
        <item x="5"/>
        <item x="9"/>
        <item x="50"/>
        <item x="26"/>
        <item x="2"/>
        <item x="44"/>
        <item x="24"/>
        <item x="49"/>
        <item x="34"/>
        <item x="27"/>
        <item x="30"/>
        <item x="38"/>
        <item x="3"/>
        <item x="33"/>
        <item x="21"/>
        <item x="8"/>
        <item x="0"/>
        <item x="6"/>
        <item x="51"/>
        <item x="52"/>
        <item x="7"/>
        <item x="31"/>
        <item t="default"/>
      </items>
    </pivotField>
  </pivotFields>
  <rowFields count="2">
    <field x="0"/>
    <field x="15"/>
  </rowFields>
  <rowItems count="362">
    <i>
      <x/>
    </i>
    <i r="1">
      <x v="4"/>
    </i>
    <i r="1">
      <x v="14"/>
    </i>
    <i r="1">
      <x v="19"/>
    </i>
    <i r="1">
      <x v="20"/>
    </i>
    <i r="1">
      <x v="24"/>
    </i>
    <i r="1">
      <x v="26"/>
    </i>
    <i r="1">
      <x v="28"/>
    </i>
    <i r="1">
      <x v="31"/>
    </i>
    <i r="1">
      <x v="32"/>
    </i>
    <i r="1">
      <x v="35"/>
    </i>
    <i r="1">
      <x v="43"/>
    </i>
    <i r="1">
      <x v="46"/>
    </i>
    <i r="1">
      <x v="47"/>
    </i>
    <i r="1">
      <x v="48"/>
    </i>
    <i r="1">
      <x v="51"/>
    </i>
    <i>
      <x v="1"/>
    </i>
    <i r="1">
      <x v="8"/>
    </i>
    <i r="1">
      <x v="13"/>
    </i>
    <i>
      <x v="2"/>
    </i>
    <i r="1">
      <x/>
    </i>
    <i r="1">
      <x v="1"/>
    </i>
    <i r="1">
      <x v="10"/>
    </i>
    <i r="1">
      <x v="11"/>
    </i>
    <i r="1">
      <x v="25"/>
    </i>
    <i r="1">
      <x v="26"/>
    </i>
    <i r="1">
      <x v="31"/>
    </i>
    <i r="1">
      <x v="32"/>
    </i>
    <i r="1">
      <x v="43"/>
    </i>
    <i r="1">
      <x v="45"/>
    </i>
    <i r="1">
      <x v="46"/>
    </i>
    <i r="1">
      <x v="47"/>
    </i>
    <i r="1">
      <x v="48"/>
    </i>
    <i>
      <x v="3"/>
    </i>
    <i r="1">
      <x v="1"/>
    </i>
    <i r="1">
      <x v="3"/>
    </i>
    <i r="1">
      <x v="6"/>
    </i>
    <i r="1">
      <x v="13"/>
    </i>
    <i r="1">
      <x v="14"/>
    </i>
    <i r="1">
      <x v="15"/>
    </i>
    <i r="1">
      <x v="19"/>
    </i>
    <i r="1">
      <x v="21"/>
    </i>
    <i r="1">
      <x v="24"/>
    </i>
    <i r="1">
      <x v="25"/>
    </i>
    <i r="1">
      <x v="26"/>
    </i>
    <i r="1">
      <x v="32"/>
    </i>
    <i r="1">
      <x v="34"/>
    </i>
    <i r="1">
      <x v="35"/>
    </i>
    <i r="1">
      <x v="37"/>
    </i>
    <i r="1">
      <x v="40"/>
    </i>
    <i r="1">
      <x v="41"/>
    </i>
    <i r="1">
      <x v="43"/>
    </i>
    <i r="1">
      <x v="45"/>
    </i>
    <i r="1">
      <x v="46"/>
    </i>
    <i r="1">
      <x v="47"/>
    </i>
    <i>
      <x v="4"/>
    </i>
    <i r="1">
      <x v="1"/>
    </i>
    <i r="1">
      <x v="4"/>
    </i>
    <i r="1">
      <x v="10"/>
    </i>
    <i r="1">
      <x v="14"/>
    </i>
    <i r="1">
      <x v="18"/>
    </i>
    <i r="1">
      <x v="19"/>
    </i>
    <i r="1">
      <x v="24"/>
    </i>
    <i r="1">
      <x v="26"/>
    </i>
    <i r="1">
      <x v="31"/>
    </i>
    <i r="1">
      <x v="32"/>
    </i>
    <i r="1">
      <x v="35"/>
    </i>
    <i r="1">
      <x v="39"/>
    </i>
    <i r="1">
      <x v="41"/>
    </i>
    <i r="1">
      <x v="43"/>
    </i>
    <i r="1">
      <x v="44"/>
    </i>
    <i r="1">
      <x v="45"/>
    </i>
    <i r="1">
      <x v="46"/>
    </i>
    <i r="1">
      <x v="47"/>
    </i>
    <i r="1">
      <x v="48"/>
    </i>
    <i r="1">
      <x v="52"/>
    </i>
    <i>
      <x v="5"/>
    </i>
    <i r="1">
      <x v="1"/>
    </i>
    <i r="1">
      <x v="9"/>
    </i>
    <i r="1">
      <x v="10"/>
    </i>
    <i r="1">
      <x v="14"/>
    </i>
    <i r="1">
      <x v="19"/>
    </i>
    <i r="1">
      <x v="22"/>
    </i>
    <i r="1">
      <x v="24"/>
    </i>
    <i r="1">
      <x v="26"/>
    </i>
    <i r="1">
      <x v="31"/>
    </i>
    <i r="1">
      <x v="32"/>
    </i>
    <i r="1">
      <x v="43"/>
    </i>
    <i r="1">
      <x v="44"/>
    </i>
    <i r="1">
      <x v="45"/>
    </i>
    <i r="1">
      <x v="46"/>
    </i>
    <i r="1">
      <x v="47"/>
    </i>
    <i r="1">
      <x v="48"/>
    </i>
    <i r="1">
      <x v="52"/>
    </i>
    <i>
      <x v="6"/>
    </i>
    <i r="1">
      <x v="1"/>
    </i>
    <i r="1">
      <x v="10"/>
    </i>
    <i r="1">
      <x v="12"/>
    </i>
    <i r="1">
      <x v="13"/>
    </i>
    <i r="1">
      <x v="14"/>
    </i>
    <i r="1">
      <x v="19"/>
    </i>
    <i r="1">
      <x v="24"/>
    </i>
    <i r="1">
      <x v="25"/>
    </i>
    <i r="1">
      <x v="26"/>
    </i>
    <i r="1">
      <x v="31"/>
    </i>
    <i r="1">
      <x v="43"/>
    </i>
    <i r="1">
      <x v="45"/>
    </i>
    <i r="1">
      <x v="46"/>
    </i>
    <i r="1">
      <x v="47"/>
    </i>
    <i>
      <x v="7"/>
    </i>
    <i r="1">
      <x v="9"/>
    </i>
    <i r="1">
      <x v="13"/>
    </i>
    <i r="1">
      <x v="19"/>
    </i>
    <i r="1">
      <x v="26"/>
    </i>
    <i r="1">
      <x v="32"/>
    </i>
    <i r="1">
      <x v="42"/>
    </i>
    <i r="1">
      <x v="43"/>
    </i>
    <i r="1">
      <x v="44"/>
    </i>
    <i r="1">
      <x v="45"/>
    </i>
    <i r="1">
      <x v="48"/>
    </i>
    <i>
      <x v="8"/>
    </i>
    <i r="1">
      <x v="12"/>
    </i>
    <i r="1">
      <x v="13"/>
    </i>
    <i r="1">
      <x v="14"/>
    </i>
    <i r="1">
      <x v="19"/>
    </i>
    <i r="1">
      <x v="23"/>
    </i>
    <i r="1">
      <x v="24"/>
    </i>
    <i r="1">
      <x v="26"/>
    </i>
    <i r="1">
      <x v="31"/>
    </i>
    <i r="1">
      <x v="32"/>
    </i>
    <i r="1">
      <x v="43"/>
    </i>
    <i r="1">
      <x v="45"/>
    </i>
    <i r="1">
      <x v="46"/>
    </i>
    <i r="1">
      <x v="47"/>
    </i>
    <i r="1">
      <x v="48"/>
    </i>
    <i>
      <x v="9"/>
    </i>
    <i r="1">
      <x v="1"/>
    </i>
    <i r="1">
      <x v="3"/>
    </i>
    <i r="1">
      <x v="8"/>
    </i>
    <i r="1">
      <x v="13"/>
    </i>
    <i r="1">
      <x v="14"/>
    </i>
    <i r="1">
      <x v="19"/>
    </i>
    <i r="1">
      <x v="24"/>
    </i>
    <i r="1">
      <x v="25"/>
    </i>
    <i r="1">
      <x v="27"/>
    </i>
    <i r="1">
      <x v="31"/>
    </i>
    <i r="1">
      <x v="32"/>
    </i>
    <i r="1">
      <x v="42"/>
    </i>
    <i r="1">
      <x v="43"/>
    </i>
    <i r="1">
      <x v="45"/>
    </i>
    <i r="1">
      <x v="46"/>
    </i>
    <i r="1">
      <x v="47"/>
    </i>
    <i r="1">
      <x v="48"/>
    </i>
    <i r="1">
      <x v="51"/>
    </i>
    <i>
      <x v="10"/>
    </i>
    <i r="1">
      <x v="12"/>
    </i>
    <i r="1">
      <x v="13"/>
    </i>
    <i r="1">
      <x v="14"/>
    </i>
    <i r="1">
      <x v="19"/>
    </i>
    <i r="1">
      <x v="24"/>
    </i>
    <i r="1">
      <x v="25"/>
    </i>
    <i r="1">
      <x v="29"/>
    </i>
    <i r="1">
      <x v="39"/>
    </i>
    <i r="1">
      <x v="41"/>
    </i>
    <i r="1">
      <x v="43"/>
    </i>
    <i r="1">
      <x v="45"/>
    </i>
    <i r="1">
      <x v="46"/>
    </i>
    <i>
      <x v="11"/>
    </i>
    <i r="1">
      <x/>
    </i>
    <i r="1">
      <x v="1"/>
    </i>
    <i r="1">
      <x v="2"/>
    </i>
    <i r="1">
      <x v="7"/>
    </i>
    <i r="1">
      <x v="12"/>
    </i>
    <i r="1">
      <x v="17"/>
    </i>
    <i r="1">
      <x v="18"/>
    </i>
    <i r="1">
      <x v="19"/>
    </i>
    <i r="1">
      <x v="20"/>
    </i>
    <i r="1">
      <x v="22"/>
    </i>
    <i r="1">
      <x v="24"/>
    </i>
    <i r="1">
      <x v="26"/>
    </i>
    <i r="1">
      <x v="31"/>
    </i>
    <i r="1">
      <x v="32"/>
    </i>
    <i r="1">
      <x v="36"/>
    </i>
    <i r="1">
      <x v="37"/>
    </i>
    <i r="1">
      <x v="42"/>
    </i>
    <i r="1">
      <x v="43"/>
    </i>
    <i r="1">
      <x v="45"/>
    </i>
    <i r="1">
      <x v="46"/>
    </i>
    <i r="1">
      <x v="47"/>
    </i>
    <i r="1">
      <x v="48"/>
    </i>
    <i r="1">
      <x v="52"/>
    </i>
    <i>
      <x v="12"/>
    </i>
    <i r="1">
      <x v="1"/>
    </i>
    <i r="1">
      <x v="9"/>
    </i>
    <i r="1">
      <x v="14"/>
    </i>
    <i r="1">
      <x v="17"/>
    </i>
    <i r="1">
      <x v="19"/>
    </i>
    <i r="1">
      <x v="22"/>
    </i>
    <i r="1">
      <x v="24"/>
    </i>
    <i r="1">
      <x v="26"/>
    </i>
    <i r="1">
      <x v="31"/>
    </i>
    <i r="1">
      <x v="32"/>
    </i>
    <i r="1">
      <x v="43"/>
    </i>
    <i r="1">
      <x v="44"/>
    </i>
    <i r="1">
      <x v="45"/>
    </i>
    <i r="1">
      <x v="46"/>
    </i>
    <i r="1">
      <x v="47"/>
    </i>
    <i r="1">
      <x v="48"/>
    </i>
    <i>
      <x v="13"/>
    </i>
    <i r="1">
      <x v="1"/>
    </i>
    <i r="1">
      <x v="5"/>
    </i>
    <i r="1">
      <x v="14"/>
    </i>
    <i r="1">
      <x v="19"/>
    </i>
    <i r="1">
      <x v="24"/>
    </i>
    <i r="1">
      <x v="26"/>
    </i>
    <i r="1">
      <x v="31"/>
    </i>
    <i r="1">
      <x v="35"/>
    </i>
    <i r="1">
      <x v="43"/>
    </i>
    <i r="1">
      <x v="44"/>
    </i>
    <i r="1">
      <x v="45"/>
    </i>
    <i r="1">
      <x v="46"/>
    </i>
    <i>
      <x v="14"/>
    </i>
    <i r="1">
      <x/>
    </i>
    <i r="1">
      <x v="1"/>
    </i>
    <i r="1">
      <x v="13"/>
    </i>
    <i r="1">
      <x v="14"/>
    </i>
    <i r="1">
      <x v="19"/>
    </i>
    <i r="1">
      <x v="20"/>
    </i>
    <i r="1">
      <x v="24"/>
    </i>
    <i r="1">
      <x v="25"/>
    </i>
    <i r="1">
      <x v="26"/>
    </i>
    <i r="1">
      <x v="30"/>
    </i>
    <i r="1">
      <x v="31"/>
    </i>
    <i r="1">
      <x v="32"/>
    </i>
    <i r="1">
      <x v="35"/>
    </i>
    <i r="1">
      <x v="42"/>
    </i>
    <i r="1">
      <x v="43"/>
    </i>
    <i r="1">
      <x v="45"/>
    </i>
    <i r="1">
      <x v="46"/>
    </i>
    <i r="1">
      <x v="47"/>
    </i>
    <i r="1">
      <x v="48"/>
    </i>
    <i>
      <x v="15"/>
    </i>
    <i r="1">
      <x v="18"/>
    </i>
    <i r="1">
      <x v="19"/>
    </i>
    <i r="1">
      <x v="24"/>
    </i>
    <i r="1">
      <x v="26"/>
    </i>
    <i r="1">
      <x v="28"/>
    </i>
    <i r="1">
      <x v="31"/>
    </i>
    <i r="1">
      <x v="43"/>
    </i>
    <i r="1">
      <x v="46"/>
    </i>
    <i r="1">
      <x v="47"/>
    </i>
    <i r="1">
      <x v="52"/>
    </i>
    <i>
      <x v="16"/>
    </i>
    <i r="1">
      <x/>
    </i>
    <i r="1">
      <x v="2"/>
    </i>
    <i r="1">
      <x v="5"/>
    </i>
    <i r="1">
      <x v="14"/>
    </i>
    <i r="1">
      <x v="18"/>
    </i>
    <i r="1">
      <x v="19"/>
    </i>
    <i r="1">
      <x v="20"/>
    </i>
    <i r="1">
      <x v="22"/>
    </i>
    <i r="1">
      <x v="24"/>
    </i>
    <i r="1">
      <x v="25"/>
    </i>
    <i r="1">
      <x v="26"/>
    </i>
    <i r="1">
      <x v="31"/>
    </i>
    <i r="1">
      <x v="32"/>
    </i>
    <i r="1">
      <x v="35"/>
    </i>
    <i r="1">
      <x v="41"/>
    </i>
    <i r="1">
      <x v="43"/>
    </i>
    <i r="1">
      <x v="44"/>
    </i>
    <i r="1">
      <x v="45"/>
    </i>
    <i r="1">
      <x v="46"/>
    </i>
    <i r="1">
      <x v="47"/>
    </i>
    <i r="1">
      <x v="48"/>
    </i>
    <i r="1">
      <x v="52"/>
    </i>
    <i>
      <x v="17"/>
    </i>
    <i r="1">
      <x v="1"/>
    </i>
    <i r="1">
      <x v="7"/>
    </i>
    <i r="1">
      <x v="14"/>
    </i>
    <i r="1">
      <x v="17"/>
    </i>
    <i r="1">
      <x v="24"/>
    </i>
    <i r="1">
      <x v="26"/>
    </i>
    <i r="1">
      <x v="31"/>
    </i>
    <i r="1">
      <x v="35"/>
    </i>
    <i r="1">
      <x v="43"/>
    </i>
    <i r="1">
      <x v="45"/>
    </i>
    <i r="1">
      <x v="46"/>
    </i>
    <i r="1">
      <x v="47"/>
    </i>
    <i>
      <x v="18"/>
    </i>
    <i r="1">
      <x v="1"/>
    </i>
    <i r="1">
      <x v="2"/>
    </i>
    <i r="1">
      <x v="3"/>
    </i>
    <i r="1">
      <x v="11"/>
    </i>
    <i r="1">
      <x v="13"/>
    </i>
    <i r="1">
      <x v="14"/>
    </i>
    <i r="1">
      <x v="15"/>
    </i>
    <i r="1">
      <x v="16"/>
    </i>
    <i r="1">
      <x v="17"/>
    </i>
    <i r="1">
      <x v="19"/>
    </i>
    <i r="1">
      <x v="22"/>
    </i>
    <i r="1">
      <x v="24"/>
    </i>
    <i r="1">
      <x v="25"/>
    </i>
    <i r="1">
      <x v="26"/>
    </i>
    <i r="1">
      <x v="31"/>
    </i>
    <i r="1">
      <x v="32"/>
    </i>
    <i r="1">
      <x v="33"/>
    </i>
    <i r="1">
      <x v="38"/>
    </i>
    <i r="1">
      <x v="41"/>
    </i>
    <i r="1">
      <x v="43"/>
    </i>
    <i r="1">
      <x v="44"/>
    </i>
    <i r="1">
      <x v="45"/>
    </i>
    <i r="1">
      <x v="46"/>
    </i>
    <i r="1">
      <x v="47"/>
    </i>
    <i r="1">
      <x v="49"/>
    </i>
    <i r="1">
      <x v="50"/>
    </i>
    <i r="1">
      <x v="52"/>
    </i>
    <i>
      <x v="19"/>
    </i>
    <i r="1">
      <x v="1"/>
    </i>
    <i r="1">
      <x v="14"/>
    </i>
    <i r="1">
      <x v="19"/>
    </i>
    <i r="1">
      <x v="24"/>
    </i>
    <i r="1">
      <x v="26"/>
    </i>
    <i r="1">
      <x v="31"/>
    </i>
    <i r="1">
      <x v="39"/>
    </i>
    <i r="1">
      <x v="43"/>
    </i>
    <i r="1">
      <x v="45"/>
    </i>
    <i r="1">
      <x v="46"/>
    </i>
    <i r="1">
      <x v="47"/>
    </i>
    <i r="1">
      <x v="48"/>
    </i>
    <i>
      <x v="20"/>
    </i>
    <i r="1">
      <x v="1"/>
    </i>
    <i r="1">
      <x v="7"/>
    </i>
    <i r="1">
      <x v="13"/>
    </i>
    <i r="1">
      <x v="14"/>
    </i>
    <i r="1">
      <x v="17"/>
    </i>
    <i r="1">
      <x v="19"/>
    </i>
    <i r="1">
      <x v="24"/>
    </i>
    <i r="1">
      <x v="25"/>
    </i>
    <i r="1">
      <x v="31"/>
    </i>
    <i r="1">
      <x v="41"/>
    </i>
    <i r="1">
      <x v="43"/>
    </i>
    <i r="1">
      <x v="45"/>
    </i>
    <i r="1">
      <x v="46"/>
    </i>
    <i r="1">
      <x v="47"/>
    </i>
    <i r="1">
      <x v="48"/>
    </i>
    <i>
      <x v="21"/>
    </i>
    <i r="1">
      <x v="1"/>
    </i>
    <i r="1">
      <x v="7"/>
    </i>
    <i r="1">
      <x v="10"/>
    </i>
    <i r="1">
      <x v="12"/>
    </i>
    <i r="1">
      <x v="13"/>
    </i>
    <i r="1">
      <x v="14"/>
    </i>
    <i r="1">
      <x v="19"/>
    </i>
    <i r="1">
      <x v="22"/>
    </i>
    <i r="1">
      <x v="24"/>
    </i>
    <i r="1">
      <x v="26"/>
    </i>
    <i r="1">
      <x v="41"/>
    </i>
    <i r="1">
      <x v="43"/>
    </i>
    <i r="1">
      <x v="45"/>
    </i>
    <i r="1">
      <x v="46"/>
    </i>
    <i r="1">
      <x v="47"/>
    </i>
    <i t="grand">
      <x/>
    </i>
  </rowItems>
  <colItems count="1">
    <i/>
  </colItems>
  <dataFields count="1">
    <dataField name="VALOR" fld="14" baseField="0" baseItem="0" numFmtId="164"/>
  </dataFields>
  <formats count="4">
    <format dxfId="3">
      <pivotArea outline="0" collapsedLevelsAreSubtotals="1" fieldPosition="0"/>
    </format>
    <format dxfId="2">
      <pivotArea dataOnly="0" labelOnly="1" outline="0" axis="axisValues" fieldPosition="0"/>
    </format>
    <format dxfId="1">
      <pivotArea field="0" type="button" dataOnly="0" labelOnly="1" outline="0" axis="axisRow"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B57"/>
  <sheetViews>
    <sheetView workbookViewId="0">
      <selection activeCell="B30" sqref="B30"/>
    </sheetView>
  </sheetViews>
  <sheetFormatPr baseColWidth="10" defaultRowHeight="14.4" x14ac:dyDescent="0.3"/>
  <cols>
    <col min="1" max="1" width="42.88671875" customWidth="1"/>
    <col min="2" max="2" width="34.88671875" style="29" customWidth="1"/>
  </cols>
  <sheetData>
    <row r="3" spans="1:2" x14ac:dyDescent="0.3">
      <c r="A3" s="33" t="s">
        <v>1396</v>
      </c>
      <c r="B3" s="34" t="s">
        <v>1453</v>
      </c>
    </row>
    <row r="4" spans="1:2" x14ac:dyDescent="0.3">
      <c r="A4" s="27" t="s">
        <v>1402</v>
      </c>
      <c r="B4" s="29">
        <v>40474348.670000002</v>
      </c>
    </row>
    <row r="5" spans="1:2" x14ac:dyDescent="0.3">
      <c r="A5" s="27" t="s">
        <v>96</v>
      </c>
      <c r="B5" s="29">
        <v>186447174.74935961</v>
      </c>
    </row>
    <row r="6" spans="1:2" x14ac:dyDescent="0.3">
      <c r="A6" s="27" t="s">
        <v>1375</v>
      </c>
      <c r="B6" s="29">
        <v>74326000</v>
      </c>
    </row>
    <row r="7" spans="1:2" x14ac:dyDescent="0.3">
      <c r="A7" s="27" t="s">
        <v>118</v>
      </c>
      <c r="B7" s="29">
        <v>170177140</v>
      </c>
    </row>
    <row r="8" spans="1:2" x14ac:dyDescent="0.3">
      <c r="A8" s="27" t="s">
        <v>1373</v>
      </c>
      <c r="B8" s="29">
        <v>65466184</v>
      </c>
    </row>
    <row r="9" spans="1:2" x14ac:dyDescent="0.3">
      <c r="A9" s="27" t="s">
        <v>643</v>
      </c>
      <c r="B9" s="29">
        <v>12118000</v>
      </c>
    </row>
    <row r="10" spans="1:2" x14ac:dyDescent="0.3">
      <c r="A10" s="27" t="s">
        <v>1283</v>
      </c>
      <c r="B10" s="29">
        <v>185511753</v>
      </c>
    </row>
    <row r="11" spans="1:2" x14ac:dyDescent="0.3">
      <c r="A11" s="27" t="s">
        <v>1380</v>
      </c>
      <c r="B11" s="29">
        <v>9095172.2930999994</v>
      </c>
    </row>
    <row r="12" spans="1:2" x14ac:dyDescent="0.3">
      <c r="A12" s="27" t="s">
        <v>1374</v>
      </c>
      <c r="B12" s="29">
        <v>136425050.95577368</v>
      </c>
    </row>
    <row r="13" spans="1:2" x14ac:dyDescent="0.3">
      <c r="A13" s="27" t="s">
        <v>315</v>
      </c>
      <c r="B13" s="29">
        <v>63449500</v>
      </c>
    </row>
    <row r="14" spans="1:2" x14ac:dyDescent="0.3">
      <c r="A14" s="27" t="s">
        <v>182</v>
      </c>
      <c r="B14" s="29">
        <v>16287140</v>
      </c>
    </row>
    <row r="15" spans="1:2" x14ac:dyDescent="0.3">
      <c r="A15" s="27" t="s">
        <v>1266</v>
      </c>
      <c r="B15" s="29">
        <v>2428145.5999999996</v>
      </c>
    </row>
    <row r="16" spans="1:2" x14ac:dyDescent="0.3">
      <c r="A16" s="27" t="s">
        <v>1387</v>
      </c>
      <c r="B16" s="29">
        <v>8372685.9790000003</v>
      </c>
    </row>
    <row r="17" spans="1:2" x14ac:dyDescent="0.3">
      <c r="A17" s="27" t="s">
        <v>383</v>
      </c>
      <c r="B17" s="29">
        <v>72940645</v>
      </c>
    </row>
    <row r="18" spans="1:2" x14ac:dyDescent="0.3">
      <c r="A18" s="27" t="s">
        <v>232</v>
      </c>
      <c r="B18" s="29">
        <v>201830158.18919998</v>
      </c>
    </row>
    <row r="19" spans="1:2" x14ac:dyDescent="0.3">
      <c r="A19" s="27" t="s">
        <v>104</v>
      </c>
      <c r="B19" s="29">
        <v>256229600</v>
      </c>
    </row>
    <row r="20" spans="1:2" x14ac:dyDescent="0.3">
      <c r="A20" s="27" t="s">
        <v>995</v>
      </c>
      <c r="B20" s="29">
        <v>6500000</v>
      </c>
    </row>
    <row r="21" spans="1:2" x14ac:dyDescent="0.3">
      <c r="A21" s="27" t="s">
        <v>1398</v>
      </c>
      <c r="B21" s="29">
        <v>48823021.804800004</v>
      </c>
    </row>
    <row r="22" spans="1:2" x14ac:dyDescent="0.3">
      <c r="A22" s="27" t="s">
        <v>164</v>
      </c>
      <c r="B22" s="29">
        <v>71196997.745999992</v>
      </c>
    </row>
    <row r="23" spans="1:2" x14ac:dyDescent="0.3">
      <c r="A23" s="27" t="s">
        <v>1383</v>
      </c>
      <c r="B23" s="29">
        <v>255678288.9053216</v>
      </c>
    </row>
    <row r="24" spans="1:2" x14ac:dyDescent="0.3">
      <c r="A24" s="27" t="s">
        <v>1285</v>
      </c>
      <c r="B24" s="29">
        <v>122913206.001</v>
      </c>
    </row>
    <row r="25" spans="1:2" x14ac:dyDescent="0.3">
      <c r="A25" s="27" t="s">
        <v>1372</v>
      </c>
      <c r="B25" s="29">
        <v>15913350</v>
      </c>
    </row>
    <row r="26" spans="1:2" x14ac:dyDescent="0.3">
      <c r="A26" s="27" t="s">
        <v>261</v>
      </c>
      <c r="B26" s="29">
        <v>11652410.5</v>
      </c>
    </row>
    <row r="27" spans="1:2" x14ac:dyDescent="0.3">
      <c r="A27" s="27" t="s">
        <v>402</v>
      </c>
      <c r="B27" s="29">
        <v>400000</v>
      </c>
    </row>
    <row r="28" spans="1:2" x14ac:dyDescent="0.3">
      <c r="A28" s="27" t="s">
        <v>34</v>
      </c>
      <c r="B28" s="29">
        <v>654218667.02541518</v>
      </c>
    </row>
    <row r="29" spans="1:2" x14ac:dyDescent="0.3">
      <c r="A29" s="27" t="s">
        <v>23</v>
      </c>
      <c r="B29" s="29">
        <v>71992103.24000001</v>
      </c>
    </row>
    <row r="30" spans="1:2" x14ac:dyDescent="0.3">
      <c r="A30" s="27" t="s">
        <v>59</v>
      </c>
      <c r="B30" s="29">
        <v>632418785.32591999</v>
      </c>
    </row>
    <row r="31" spans="1:2" x14ac:dyDescent="0.3">
      <c r="A31" s="27" t="s">
        <v>444</v>
      </c>
      <c r="B31" s="29">
        <v>1620000</v>
      </c>
    </row>
    <row r="32" spans="1:2" x14ac:dyDescent="0.3">
      <c r="A32" s="27" t="s">
        <v>1389</v>
      </c>
      <c r="B32" s="29">
        <v>1431570</v>
      </c>
    </row>
    <row r="33" spans="1:2" x14ac:dyDescent="0.3">
      <c r="A33" s="27" t="s">
        <v>523</v>
      </c>
      <c r="B33" s="29">
        <v>3102330</v>
      </c>
    </row>
    <row r="34" spans="1:2" x14ac:dyDescent="0.3">
      <c r="A34" s="27" t="s">
        <v>1286</v>
      </c>
      <c r="B34" s="29">
        <v>16280000</v>
      </c>
    </row>
    <row r="35" spans="1:2" x14ac:dyDescent="0.3">
      <c r="A35" s="27" t="s">
        <v>36</v>
      </c>
      <c r="B35" s="29">
        <v>184910086.57597363</v>
      </c>
    </row>
    <row r="36" spans="1:2" x14ac:dyDescent="0.3">
      <c r="A36" s="27" t="s">
        <v>1274</v>
      </c>
      <c r="B36" s="29">
        <v>373698750.07550001</v>
      </c>
    </row>
    <row r="37" spans="1:2" x14ac:dyDescent="0.3">
      <c r="A37" s="27" t="s">
        <v>1027</v>
      </c>
      <c r="B37" s="29">
        <v>7616000</v>
      </c>
    </row>
    <row r="38" spans="1:2" x14ac:dyDescent="0.3">
      <c r="A38" s="27" t="s">
        <v>106</v>
      </c>
      <c r="B38" s="29">
        <v>92486800</v>
      </c>
    </row>
    <row r="39" spans="1:2" x14ac:dyDescent="0.3">
      <c r="A39" s="27" t="s">
        <v>25</v>
      </c>
      <c r="B39" s="29">
        <v>34495992</v>
      </c>
    </row>
    <row r="40" spans="1:2" x14ac:dyDescent="0.3">
      <c r="A40" s="27" t="s">
        <v>1395</v>
      </c>
      <c r="B40" s="29">
        <v>1651396.32</v>
      </c>
    </row>
    <row r="41" spans="1:2" x14ac:dyDescent="0.3">
      <c r="A41" s="27" t="s">
        <v>98</v>
      </c>
      <c r="B41" s="29">
        <v>4499147</v>
      </c>
    </row>
    <row r="42" spans="1:2" x14ac:dyDescent="0.3">
      <c r="A42" s="27" t="s">
        <v>1025</v>
      </c>
      <c r="B42" s="29">
        <v>15565200</v>
      </c>
    </row>
    <row r="43" spans="1:2" x14ac:dyDescent="0.3">
      <c r="A43" s="27" t="s">
        <v>202</v>
      </c>
      <c r="B43" s="29">
        <v>2865186.8</v>
      </c>
    </row>
    <row r="44" spans="1:2" x14ac:dyDescent="0.3">
      <c r="A44" s="27" t="s">
        <v>1385</v>
      </c>
      <c r="B44" s="29">
        <v>28000000</v>
      </c>
    </row>
    <row r="45" spans="1:2" x14ac:dyDescent="0.3">
      <c r="A45" s="27" t="s">
        <v>237</v>
      </c>
      <c r="B45" s="29">
        <v>55891577.600000001</v>
      </c>
    </row>
    <row r="46" spans="1:2" x14ac:dyDescent="0.3">
      <c r="A46" s="27" t="s">
        <v>425</v>
      </c>
      <c r="B46" s="29">
        <v>180691000</v>
      </c>
    </row>
    <row r="47" spans="1:2" x14ac:dyDescent="0.3">
      <c r="A47" s="27" t="s">
        <v>95</v>
      </c>
      <c r="B47" s="29">
        <v>2325818601.3990002</v>
      </c>
    </row>
    <row r="48" spans="1:2" x14ac:dyDescent="0.3">
      <c r="A48" s="27" t="s">
        <v>196</v>
      </c>
      <c r="B48" s="29">
        <v>77254748.33919999</v>
      </c>
    </row>
    <row r="49" spans="1:2" x14ac:dyDescent="0.3">
      <c r="A49" s="27" t="s">
        <v>136</v>
      </c>
      <c r="B49" s="29">
        <v>219709929.25</v>
      </c>
    </row>
    <row r="50" spans="1:2" x14ac:dyDescent="0.3">
      <c r="A50" s="27" t="s">
        <v>94</v>
      </c>
      <c r="B50" s="29">
        <v>542431412.69614589</v>
      </c>
    </row>
    <row r="51" spans="1:2" x14ac:dyDescent="0.3">
      <c r="A51" s="27" t="s">
        <v>21</v>
      </c>
      <c r="B51" s="29">
        <v>163614471.45300004</v>
      </c>
    </row>
    <row r="52" spans="1:2" x14ac:dyDescent="0.3">
      <c r="A52" s="27" t="s">
        <v>1282</v>
      </c>
      <c r="B52" s="29">
        <v>1135696776</v>
      </c>
    </row>
    <row r="53" spans="1:2" x14ac:dyDescent="0.3">
      <c r="A53" s="27" t="s">
        <v>1403</v>
      </c>
      <c r="B53" s="29">
        <v>5308690</v>
      </c>
    </row>
    <row r="54" spans="1:2" x14ac:dyDescent="0.3">
      <c r="A54" s="27" t="s">
        <v>1264</v>
      </c>
      <c r="B54" s="29">
        <v>602300</v>
      </c>
    </row>
    <row r="55" spans="1:2" x14ac:dyDescent="0.3">
      <c r="A55" s="27" t="s">
        <v>1280</v>
      </c>
      <c r="B55" s="29">
        <v>6348789.4680000003</v>
      </c>
    </row>
    <row r="56" spans="1:2" x14ac:dyDescent="0.3">
      <c r="A56" s="27" t="s">
        <v>162</v>
      </c>
      <c r="B56" s="29">
        <v>459895060.37</v>
      </c>
    </row>
    <row r="57" spans="1:2" x14ac:dyDescent="0.3">
      <c r="A57" s="27" t="s">
        <v>1394</v>
      </c>
      <c r="B57" s="29">
        <v>9334771344.3317108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O3" sqref="O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t="s">
        <v>87</v>
      </c>
      <c r="C2" s="10" t="s">
        <v>88</v>
      </c>
      <c r="D2" s="11">
        <v>43915</v>
      </c>
      <c r="E2" s="11">
        <v>43922</v>
      </c>
      <c r="F2" s="31">
        <v>185523408</v>
      </c>
      <c r="G2" s="32">
        <v>0</v>
      </c>
      <c r="H2" s="8" t="s">
        <v>89</v>
      </c>
      <c r="I2" s="12">
        <v>800126785</v>
      </c>
      <c r="J2" s="13" t="s">
        <v>1377</v>
      </c>
      <c r="K2" s="14">
        <v>6</v>
      </c>
      <c r="L2" s="15" t="s">
        <v>1281</v>
      </c>
      <c r="M2" s="16">
        <v>3222785</v>
      </c>
      <c r="N2" s="16">
        <v>0</v>
      </c>
      <c r="O2" s="16">
        <f>K2*(M2+N2)*7</f>
        <v>135356970</v>
      </c>
      <c r="P2" s="14" t="s">
        <v>1283</v>
      </c>
    </row>
    <row r="3" spans="1:16" x14ac:dyDescent="0.3">
      <c r="A3" s="8" t="s">
        <v>86</v>
      </c>
      <c r="B3" s="9" t="s">
        <v>87</v>
      </c>
      <c r="C3" s="10" t="s">
        <v>88</v>
      </c>
      <c r="D3" s="11">
        <v>43915</v>
      </c>
      <c r="E3" s="11">
        <v>43922</v>
      </c>
      <c r="F3" s="31">
        <v>185523408</v>
      </c>
      <c r="G3" s="32">
        <v>0</v>
      </c>
      <c r="H3" s="8" t="s">
        <v>89</v>
      </c>
      <c r="I3" s="12">
        <v>800126785</v>
      </c>
      <c r="J3" s="13" t="s">
        <v>1378</v>
      </c>
      <c r="K3" s="14">
        <v>21</v>
      </c>
      <c r="L3" s="15" t="s">
        <v>1281</v>
      </c>
      <c r="M3" s="16">
        <v>341189</v>
      </c>
      <c r="N3" s="16">
        <v>0</v>
      </c>
      <c r="O3" s="16">
        <f>K3*(M3+N3)*7</f>
        <v>50154783</v>
      </c>
      <c r="P3" s="14" t="s">
        <v>1283</v>
      </c>
    </row>
  </sheetData>
  <dataValidations count="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E3">
      <formula1>1900/1/1</formula1>
      <formula2>3000/1/1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J1" workbookViewId="0">
      <selection activeCell="O10" sqref="O10"/>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544</v>
      </c>
      <c r="B2" s="9" t="s">
        <v>545</v>
      </c>
      <c r="C2" s="10" t="s">
        <v>546</v>
      </c>
      <c r="D2" s="11" t="s">
        <v>547</v>
      </c>
      <c r="E2" s="11" t="s">
        <v>547</v>
      </c>
      <c r="F2" s="31">
        <v>21078782</v>
      </c>
      <c r="G2" s="32">
        <v>0</v>
      </c>
      <c r="H2" s="8" t="s">
        <v>548</v>
      </c>
      <c r="I2" s="12">
        <v>900406714</v>
      </c>
      <c r="J2" s="13" t="s">
        <v>550</v>
      </c>
      <c r="K2" s="14">
        <v>4</v>
      </c>
      <c r="L2" s="15" t="s">
        <v>250</v>
      </c>
      <c r="M2" s="16">
        <v>2251.21</v>
      </c>
      <c r="N2" s="16">
        <f t="shared" ref="N2:N4" si="0">M2*0.19</f>
        <v>427.72989999999999</v>
      </c>
      <c r="O2" s="16">
        <f t="shared" ref="O2:O10" si="1">K2*(M2+N2)</f>
        <v>10715.759599999999</v>
      </c>
      <c r="P2" s="14" t="s">
        <v>1380</v>
      </c>
    </row>
    <row r="3" spans="1:16" x14ac:dyDescent="0.3">
      <c r="A3" s="8" t="s">
        <v>544</v>
      </c>
      <c r="B3" s="9" t="s">
        <v>545</v>
      </c>
      <c r="C3" s="10" t="s">
        <v>546</v>
      </c>
      <c r="D3" s="11" t="s">
        <v>547</v>
      </c>
      <c r="E3" s="11" t="s">
        <v>547</v>
      </c>
      <c r="F3" s="31">
        <v>21078782</v>
      </c>
      <c r="G3" s="32">
        <v>0</v>
      </c>
      <c r="H3" s="8" t="s">
        <v>548</v>
      </c>
      <c r="I3" s="12">
        <v>900406714</v>
      </c>
      <c r="J3" s="13" t="s">
        <v>551</v>
      </c>
      <c r="K3" s="14">
        <v>5</v>
      </c>
      <c r="L3" s="15" t="s">
        <v>250</v>
      </c>
      <c r="M3" s="16">
        <v>6303.33</v>
      </c>
      <c r="N3" s="16">
        <f t="shared" si="0"/>
        <v>1197.6327000000001</v>
      </c>
      <c r="O3" s="16">
        <f t="shared" si="1"/>
        <v>37504.813500000004</v>
      </c>
      <c r="P3" s="14" t="s">
        <v>1380</v>
      </c>
    </row>
    <row r="4" spans="1:16" x14ac:dyDescent="0.3">
      <c r="A4" s="8" t="s">
        <v>544</v>
      </c>
      <c r="B4" s="9" t="s">
        <v>545</v>
      </c>
      <c r="C4" s="10" t="s">
        <v>546</v>
      </c>
      <c r="D4" s="11" t="s">
        <v>547</v>
      </c>
      <c r="E4" s="11" t="s">
        <v>547</v>
      </c>
      <c r="F4" s="31">
        <v>21078782</v>
      </c>
      <c r="G4" s="32">
        <v>0</v>
      </c>
      <c r="H4" s="8" t="s">
        <v>548</v>
      </c>
      <c r="I4" s="12">
        <v>900406714</v>
      </c>
      <c r="J4" s="13" t="s">
        <v>552</v>
      </c>
      <c r="K4" s="14">
        <v>12</v>
      </c>
      <c r="L4" s="15" t="s">
        <v>250</v>
      </c>
      <c r="M4" s="16">
        <v>2974</v>
      </c>
      <c r="N4" s="16">
        <f t="shared" si="0"/>
        <v>565.06000000000006</v>
      </c>
      <c r="O4" s="16">
        <f t="shared" si="1"/>
        <v>42468.72</v>
      </c>
      <c r="P4" s="14" t="s">
        <v>1380</v>
      </c>
    </row>
    <row r="5" spans="1:16" x14ac:dyDescent="0.3">
      <c r="A5" s="8" t="s">
        <v>959</v>
      </c>
      <c r="B5" s="9">
        <v>35</v>
      </c>
      <c r="C5" s="10" t="s">
        <v>960</v>
      </c>
      <c r="D5" s="11">
        <v>43477</v>
      </c>
      <c r="E5" s="11">
        <v>43800</v>
      </c>
      <c r="F5" s="31">
        <v>0</v>
      </c>
      <c r="G5" s="32">
        <v>67434392</v>
      </c>
      <c r="H5" s="8" t="s">
        <v>961</v>
      </c>
      <c r="I5" s="12">
        <v>811044253</v>
      </c>
      <c r="J5" s="13" t="s">
        <v>969</v>
      </c>
      <c r="K5" s="14">
        <v>450</v>
      </c>
      <c r="L5" s="15" t="s">
        <v>250</v>
      </c>
      <c r="M5" s="16">
        <v>2944</v>
      </c>
      <c r="N5" s="16">
        <v>0</v>
      </c>
      <c r="O5" s="16">
        <f t="shared" si="1"/>
        <v>1324800</v>
      </c>
      <c r="P5" s="14" t="s">
        <v>1380</v>
      </c>
    </row>
    <row r="6" spans="1:16" x14ac:dyDescent="0.3">
      <c r="A6" s="8" t="s">
        <v>959</v>
      </c>
      <c r="B6" s="9">
        <v>35</v>
      </c>
      <c r="C6" s="10" t="s">
        <v>960</v>
      </c>
      <c r="D6" s="11">
        <v>43477</v>
      </c>
      <c r="E6" s="11">
        <v>43800</v>
      </c>
      <c r="F6" s="31">
        <v>0</v>
      </c>
      <c r="G6" s="32">
        <v>67434392</v>
      </c>
      <c r="H6" s="8" t="s">
        <v>961</v>
      </c>
      <c r="I6" s="12">
        <v>811044253</v>
      </c>
      <c r="J6" s="13" t="s">
        <v>970</v>
      </c>
      <c r="K6" s="14">
        <v>650</v>
      </c>
      <c r="L6" s="15" t="s">
        <v>250</v>
      </c>
      <c r="M6" s="16">
        <v>2815</v>
      </c>
      <c r="N6" s="16">
        <v>0</v>
      </c>
      <c r="O6" s="16">
        <f t="shared" si="1"/>
        <v>1829750</v>
      </c>
      <c r="P6" s="14" t="s">
        <v>1380</v>
      </c>
    </row>
    <row r="7" spans="1:16" x14ac:dyDescent="0.3">
      <c r="A7" s="8" t="s">
        <v>959</v>
      </c>
      <c r="B7" s="9">
        <v>35</v>
      </c>
      <c r="C7" s="10" t="s">
        <v>960</v>
      </c>
      <c r="D7" s="11">
        <v>43477</v>
      </c>
      <c r="E7" s="11">
        <v>43800</v>
      </c>
      <c r="F7" s="31">
        <v>0</v>
      </c>
      <c r="G7" s="32">
        <v>67434392</v>
      </c>
      <c r="H7" s="8" t="s">
        <v>961</v>
      </c>
      <c r="I7" s="12">
        <v>811044253</v>
      </c>
      <c r="J7" s="13" t="s">
        <v>971</v>
      </c>
      <c r="K7" s="14">
        <v>387</v>
      </c>
      <c r="L7" s="15" t="s">
        <v>250</v>
      </c>
      <c r="M7" s="16">
        <v>6300</v>
      </c>
      <c r="N7" s="16">
        <v>0</v>
      </c>
      <c r="O7" s="16">
        <f t="shared" si="1"/>
        <v>2438100</v>
      </c>
      <c r="P7" s="14" t="s">
        <v>1380</v>
      </c>
    </row>
    <row r="8" spans="1:16" x14ac:dyDescent="0.3">
      <c r="A8" s="8" t="s">
        <v>959</v>
      </c>
      <c r="B8" s="9">
        <v>35</v>
      </c>
      <c r="C8" s="10" t="s">
        <v>960</v>
      </c>
      <c r="D8" s="11">
        <v>43477</v>
      </c>
      <c r="E8" s="11">
        <v>43800</v>
      </c>
      <c r="F8" s="31">
        <v>0</v>
      </c>
      <c r="G8" s="32">
        <v>67434392</v>
      </c>
      <c r="H8" s="8" t="s">
        <v>961</v>
      </c>
      <c r="I8" s="12">
        <v>811044253</v>
      </c>
      <c r="J8" s="13" t="s">
        <v>972</v>
      </c>
      <c r="K8" s="14">
        <v>387</v>
      </c>
      <c r="L8" s="15" t="s">
        <v>250</v>
      </c>
      <c r="M8" s="16">
        <v>6859</v>
      </c>
      <c r="N8" s="16">
        <v>0</v>
      </c>
      <c r="O8" s="16">
        <f t="shared" si="1"/>
        <v>2654433</v>
      </c>
      <c r="P8" s="14" t="s">
        <v>1380</v>
      </c>
    </row>
    <row r="9" spans="1:16" x14ac:dyDescent="0.3">
      <c r="A9" s="8" t="s">
        <v>1115</v>
      </c>
      <c r="B9" s="9" t="s">
        <v>1157</v>
      </c>
      <c r="C9" s="10" t="s">
        <v>1229</v>
      </c>
      <c r="D9" s="11">
        <v>44018</v>
      </c>
      <c r="E9" s="11">
        <v>44018</v>
      </c>
      <c r="F9" s="31">
        <v>24633605</v>
      </c>
      <c r="G9" s="32">
        <v>0</v>
      </c>
      <c r="H9" s="8" t="s">
        <v>1158</v>
      </c>
      <c r="I9" s="12">
        <v>890900943</v>
      </c>
      <c r="J9" s="13" t="s">
        <v>1160</v>
      </c>
      <c r="K9" s="14">
        <v>100</v>
      </c>
      <c r="L9" s="15" t="s">
        <v>250</v>
      </c>
      <c r="M9" s="16">
        <v>6614</v>
      </c>
      <c r="N9" s="16">
        <v>0</v>
      </c>
      <c r="O9" s="16">
        <f t="shared" si="1"/>
        <v>661400</v>
      </c>
      <c r="P9" s="14" t="s">
        <v>1380</v>
      </c>
    </row>
    <row r="10" spans="1:16" x14ac:dyDescent="0.3">
      <c r="A10" s="8" t="s">
        <v>1161</v>
      </c>
      <c r="B10" s="9" t="s">
        <v>1162</v>
      </c>
      <c r="C10" s="10" t="s">
        <v>1163</v>
      </c>
      <c r="D10" s="11">
        <v>43914</v>
      </c>
      <c r="E10" s="11">
        <v>43914</v>
      </c>
      <c r="F10" s="31">
        <v>6674000</v>
      </c>
      <c r="G10" s="32">
        <v>0</v>
      </c>
      <c r="H10" s="8" t="s">
        <v>1164</v>
      </c>
      <c r="I10" s="12">
        <v>901244133</v>
      </c>
      <c r="J10" s="13" t="s">
        <v>1166</v>
      </c>
      <c r="K10" s="14">
        <v>80</v>
      </c>
      <c r="L10" s="15" t="s">
        <v>250</v>
      </c>
      <c r="M10" s="16">
        <f>1200/1.19</f>
        <v>1008.4033613445379</v>
      </c>
      <c r="N10" s="16">
        <f>M10*0.19</f>
        <v>191.59663865546219</v>
      </c>
      <c r="O10" s="16">
        <f t="shared" si="1"/>
        <v>96000</v>
      </c>
      <c r="P10" s="14" t="s">
        <v>1380</v>
      </c>
    </row>
  </sheetData>
  <dataValidations count="8">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4 B7:B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I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4 A7:A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6 D9:I10 A9:B1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6">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7:E8">
      <formula1>1900/1/1</formula1>
      <formula2>3000/1/1</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1" workbookViewId="0">
      <selection sqref="A1:P5"/>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71</v>
      </c>
      <c r="B2" s="9" t="s">
        <v>83</v>
      </c>
      <c r="C2" s="10" t="s">
        <v>84</v>
      </c>
      <c r="D2" s="11">
        <v>44014</v>
      </c>
      <c r="E2" s="11">
        <v>44014</v>
      </c>
      <c r="F2" s="31">
        <v>64760194</v>
      </c>
      <c r="G2" s="32">
        <v>0</v>
      </c>
      <c r="H2" s="8" t="s">
        <v>85</v>
      </c>
      <c r="I2" s="12">
        <v>800242738</v>
      </c>
      <c r="J2" s="13" t="s">
        <v>1469</v>
      </c>
      <c r="K2" s="14">
        <v>13</v>
      </c>
      <c r="L2" s="15" t="s">
        <v>1281</v>
      </c>
      <c r="M2" s="16">
        <v>1258206.6399999999</v>
      </c>
      <c r="N2" s="16">
        <f>M2*19%</f>
        <v>239059.26159999997</v>
      </c>
      <c r="O2" s="16">
        <f>K2*(M2+N2)*3.3271</f>
        <v>64760193.955773689</v>
      </c>
      <c r="P2" s="19" t="s">
        <v>1374</v>
      </c>
    </row>
    <row r="3" spans="1:16" x14ac:dyDescent="0.3">
      <c r="A3" s="8" t="s">
        <v>407</v>
      </c>
      <c r="B3" s="9" t="s">
        <v>454</v>
      </c>
      <c r="C3" s="10" t="s">
        <v>456</v>
      </c>
      <c r="D3" s="11">
        <v>43983</v>
      </c>
      <c r="E3" s="11">
        <v>43983</v>
      </c>
      <c r="F3" s="31">
        <v>0</v>
      </c>
      <c r="G3" s="32">
        <v>18340586</v>
      </c>
      <c r="H3" s="8" t="s">
        <v>455</v>
      </c>
      <c r="I3" s="12">
        <v>810001366</v>
      </c>
      <c r="J3" s="36" t="s">
        <v>1434</v>
      </c>
      <c r="K3" s="14">
        <v>2</v>
      </c>
      <c r="L3" s="15" t="s">
        <v>1281</v>
      </c>
      <c r="M3" s="16">
        <v>1834059</v>
      </c>
      <c r="N3" s="16">
        <v>0</v>
      </c>
      <c r="O3" s="16">
        <f>K3*(M3+N3)*5</f>
        <v>18340590</v>
      </c>
      <c r="P3" s="19" t="s">
        <v>1374</v>
      </c>
    </row>
    <row r="4" spans="1:16" x14ac:dyDescent="0.3">
      <c r="A4" s="8" t="s">
        <v>407</v>
      </c>
      <c r="B4" s="9" t="s">
        <v>454</v>
      </c>
      <c r="C4" s="10" t="s">
        <v>456</v>
      </c>
      <c r="D4" s="11">
        <v>43983</v>
      </c>
      <c r="E4" s="11">
        <v>43983</v>
      </c>
      <c r="F4" s="31">
        <v>0</v>
      </c>
      <c r="G4" s="32">
        <v>9480267</v>
      </c>
      <c r="H4" s="8" t="s">
        <v>455</v>
      </c>
      <c r="I4" s="12">
        <v>810001366</v>
      </c>
      <c r="J4" s="36" t="s">
        <v>1435</v>
      </c>
      <c r="K4" s="14">
        <v>1</v>
      </c>
      <c r="L4" s="15" t="s">
        <v>1281</v>
      </c>
      <c r="M4" s="16">
        <v>2106726</v>
      </c>
      <c r="N4" s="16">
        <v>0</v>
      </c>
      <c r="O4" s="16">
        <f>K4*(M4+N4)*4.5</f>
        <v>9480267</v>
      </c>
      <c r="P4" s="19" t="s">
        <v>1374</v>
      </c>
    </row>
    <row r="5" spans="1:16" x14ac:dyDescent="0.3">
      <c r="A5" s="8" t="s">
        <v>407</v>
      </c>
      <c r="B5" s="9" t="s">
        <v>454</v>
      </c>
      <c r="C5" s="10" t="s">
        <v>456</v>
      </c>
      <c r="D5" s="11">
        <v>43983</v>
      </c>
      <c r="E5" s="11">
        <v>43983</v>
      </c>
      <c r="F5" s="31">
        <v>0</v>
      </c>
      <c r="G5" s="32">
        <v>43843974</v>
      </c>
      <c r="H5" s="8" t="s">
        <v>455</v>
      </c>
      <c r="I5" s="12">
        <v>810001366</v>
      </c>
      <c r="J5" s="36" t="s">
        <v>1436</v>
      </c>
      <c r="K5" s="14">
        <v>20</v>
      </c>
      <c r="L5" s="15" t="s">
        <v>1281</v>
      </c>
      <c r="M5" s="16">
        <v>548050</v>
      </c>
      <c r="N5" s="16">
        <v>0</v>
      </c>
      <c r="O5" s="16">
        <f>K5*(M5+N5)*4</f>
        <v>43844000</v>
      </c>
      <c r="P5" s="19" t="s">
        <v>1374</v>
      </c>
    </row>
  </sheetData>
  <dataValidations count="9">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E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4:B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5">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I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F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4:E5">
      <formula1>1900/1/1</formula1>
      <formula2>3000/1/1</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J1" workbookViewId="0">
      <selection activeCell="N7" sqref="N7"/>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252</v>
      </c>
      <c r="B2" s="9" t="s">
        <v>312</v>
      </c>
      <c r="C2" s="10" t="s">
        <v>313</v>
      </c>
      <c r="D2" s="11">
        <v>44022</v>
      </c>
      <c r="E2" s="11">
        <v>44025</v>
      </c>
      <c r="F2" s="31">
        <v>24990000</v>
      </c>
      <c r="G2" s="32">
        <v>0</v>
      </c>
      <c r="H2" s="8" t="s">
        <v>298</v>
      </c>
      <c r="I2" s="12">
        <v>800078360</v>
      </c>
      <c r="J2" s="13" t="s">
        <v>314</v>
      </c>
      <c r="K2" s="14">
        <v>600</v>
      </c>
      <c r="L2" s="15" t="s">
        <v>250</v>
      </c>
      <c r="M2" s="16">
        <v>35000</v>
      </c>
      <c r="N2" s="16">
        <f>M2*0.19</f>
        <v>6650</v>
      </c>
      <c r="O2" s="16">
        <f>K2*(M2+N2)</f>
        <v>24990000</v>
      </c>
      <c r="P2" s="14" t="s">
        <v>315</v>
      </c>
    </row>
    <row r="3" spans="1:16" x14ac:dyDescent="0.3">
      <c r="A3" s="8" t="s">
        <v>1322</v>
      </c>
      <c r="B3" s="9" t="s">
        <v>1335</v>
      </c>
      <c r="C3" s="17" t="s">
        <v>1336</v>
      </c>
      <c r="D3" s="11">
        <v>43969</v>
      </c>
      <c r="E3" s="11">
        <v>43970</v>
      </c>
      <c r="F3" s="31">
        <v>17409500</v>
      </c>
      <c r="G3" s="32">
        <v>0</v>
      </c>
      <c r="H3" s="8" t="s">
        <v>1337</v>
      </c>
      <c r="I3" s="12">
        <v>8301448751</v>
      </c>
      <c r="J3" s="13" t="s">
        <v>1338</v>
      </c>
      <c r="K3" s="14">
        <v>500</v>
      </c>
      <c r="L3" s="15" t="s">
        <v>250</v>
      </c>
      <c r="M3" s="16">
        <v>34819</v>
      </c>
      <c r="N3" s="16">
        <v>0</v>
      </c>
      <c r="O3" s="16">
        <f>K3*(M3+N3)</f>
        <v>17409500</v>
      </c>
      <c r="P3" s="19" t="s">
        <v>315</v>
      </c>
    </row>
    <row r="4" spans="1:16" x14ac:dyDescent="0.3">
      <c r="A4" s="8" t="s">
        <v>623</v>
      </c>
      <c r="B4" s="9" t="s">
        <v>660</v>
      </c>
      <c r="C4" s="10" t="s">
        <v>661</v>
      </c>
      <c r="D4" s="11">
        <v>43978</v>
      </c>
      <c r="E4" s="11">
        <v>43985</v>
      </c>
      <c r="F4" s="31">
        <v>87780000</v>
      </c>
      <c r="G4" s="32">
        <v>0</v>
      </c>
      <c r="H4" s="8" t="s">
        <v>662</v>
      </c>
      <c r="I4" s="12">
        <v>900490455</v>
      </c>
      <c r="J4" s="13" t="s">
        <v>664</v>
      </c>
      <c r="K4" s="14">
        <v>30</v>
      </c>
      <c r="L4" s="15" t="s">
        <v>250</v>
      </c>
      <c r="M4" s="16">
        <v>60000</v>
      </c>
      <c r="N4" s="16">
        <v>0</v>
      </c>
      <c r="O4" s="16">
        <f t="shared" ref="O4:O7" si="0">K4*(M4+N4)</f>
        <v>1800000</v>
      </c>
      <c r="P4" s="14" t="s">
        <v>315</v>
      </c>
    </row>
    <row r="5" spans="1:16" x14ac:dyDescent="0.3">
      <c r="A5" s="8" t="s">
        <v>623</v>
      </c>
      <c r="B5" s="9" t="s">
        <v>660</v>
      </c>
      <c r="C5" s="10" t="s">
        <v>661</v>
      </c>
      <c r="D5" s="11">
        <v>43978</v>
      </c>
      <c r="E5" s="11">
        <v>43985</v>
      </c>
      <c r="F5" s="31">
        <v>87780000</v>
      </c>
      <c r="G5" s="32">
        <v>0</v>
      </c>
      <c r="H5" s="8" t="s">
        <v>662</v>
      </c>
      <c r="I5" s="12">
        <v>900490455</v>
      </c>
      <c r="J5" s="13" t="s">
        <v>665</v>
      </c>
      <c r="K5" s="14">
        <v>50</v>
      </c>
      <c r="L5" s="15" t="s">
        <v>250</v>
      </c>
      <c r="M5" s="16">
        <v>60000</v>
      </c>
      <c r="N5" s="16">
        <v>0</v>
      </c>
      <c r="O5" s="16">
        <f t="shared" si="0"/>
        <v>3000000</v>
      </c>
      <c r="P5" s="14" t="s">
        <v>315</v>
      </c>
    </row>
    <row r="6" spans="1:16" x14ac:dyDescent="0.3">
      <c r="A6" s="8" t="s">
        <v>623</v>
      </c>
      <c r="B6" s="9" t="s">
        <v>660</v>
      </c>
      <c r="C6" s="10" t="s">
        <v>661</v>
      </c>
      <c r="D6" s="11">
        <v>43978</v>
      </c>
      <c r="E6" s="11">
        <v>43985</v>
      </c>
      <c r="F6" s="31">
        <v>87780000</v>
      </c>
      <c r="G6" s="32">
        <v>0</v>
      </c>
      <c r="H6" s="8" t="s">
        <v>662</v>
      </c>
      <c r="I6" s="12">
        <v>900490455</v>
      </c>
      <c r="J6" s="13" t="s">
        <v>666</v>
      </c>
      <c r="K6" s="14">
        <v>200</v>
      </c>
      <c r="L6" s="15" t="s">
        <v>250</v>
      </c>
      <c r="M6" s="16">
        <v>65000</v>
      </c>
      <c r="N6" s="16">
        <v>0</v>
      </c>
      <c r="O6" s="16">
        <f t="shared" si="0"/>
        <v>13000000</v>
      </c>
      <c r="P6" s="14" t="s">
        <v>315</v>
      </c>
    </row>
    <row r="7" spans="1:16" x14ac:dyDescent="0.3">
      <c r="A7" s="8" t="s">
        <v>623</v>
      </c>
      <c r="B7" s="9" t="s">
        <v>660</v>
      </c>
      <c r="C7" s="10" t="s">
        <v>661</v>
      </c>
      <c r="D7" s="11">
        <v>43978</v>
      </c>
      <c r="E7" s="11">
        <v>43985</v>
      </c>
      <c r="F7" s="31">
        <v>87780000</v>
      </c>
      <c r="G7" s="32">
        <v>0</v>
      </c>
      <c r="H7" s="8" t="s">
        <v>662</v>
      </c>
      <c r="I7" s="12">
        <v>900490455</v>
      </c>
      <c r="J7" s="13" t="s">
        <v>667</v>
      </c>
      <c r="K7" s="14">
        <v>50</v>
      </c>
      <c r="L7" s="15" t="s">
        <v>250</v>
      </c>
      <c r="M7" s="16">
        <v>65000</v>
      </c>
      <c r="N7" s="16">
        <v>0</v>
      </c>
      <c r="O7" s="16">
        <f t="shared" si="0"/>
        <v>3250000</v>
      </c>
      <c r="P7" s="14" t="s">
        <v>315</v>
      </c>
    </row>
  </sheetData>
  <dataValidations count="1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B2">
      <formula1>0</formula1>
      <formula2>290</formula2>
    </dataValidation>
    <dataValidation type="textLength" allowBlank="1" showInputMessage="1" showErrorMessage="1" errorTitle="Entrada no válida" error="Escriba un texto  Maximo 8 Caracteres" promptTitle="Cualquier contenido Maximo 8 Caracteres" prompt=" Registre los 8 digitos del código SECOP" sqref="F2">
      <formula1>0</formula1>
      <formula2>8</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H2">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E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D2 B3:B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I3">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E7">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D7">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I7">
      <formula1>-999999999</formula1>
      <formula2>999999999</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J1" workbookViewId="0">
      <selection activeCell="J2" sqref="J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1289</v>
      </c>
      <c r="B2" s="9" t="s">
        <v>119</v>
      </c>
      <c r="C2" s="17" t="s">
        <v>1314</v>
      </c>
      <c r="D2" s="11">
        <v>43984</v>
      </c>
      <c r="E2" s="11">
        <v>43984</v>
      </c>
      <c r="F2" s="31">
        <v>12960000</v>
      </c>
      <c r="G2" s="32">
        <v>0</v>
      </c>
      <c r="H2" s="8" t="s">
        <v>1315</v>
      </c>
      <c r="I2" s="12">
        <v>900616935</v>
      </c>
      <c r="J2" s="13" t="s">
        <v>1386</v>
      </c>
      <c r="K2" s="14">
        <v>3000</v>
      </c>
      <c r="L2" s="18" t="s">
        <v>250</v>
      </c>
      <c r="M2" s="16">
        <v>3000</v>
      </c>
      <c r="N2" s="16">
        <v>0</v>
      </c>
      <c r="O2" s="16">
        <v>9000000</v>
      </c>
      <c r="P2" s="19" t="s">
        <v>182</v>
      </c>
    </row>
    <row r="3" spans="1:16" x14ac:dyDescent="0.3">
      <c r="A3" s="8" t="s">
        <v>153</v>
      </c>
      <c r="B3" s="9" t="s">
        <v>178</v>
      </c>
      <c r="C3" s="10" t="s">
        <v>179</v>
      </c>
      <c r="D3" s="11">
        <v>43958</v>
      </c>
      <c r="E3" s="11">
        <v>43958</v>
      </c>
      <c r="F3" s="31">
        <v>3284400</v>
      </c>
      <c r="G3" s="32">
        <v>0</v>
      </c>
      <c r="H3" s="8" t="s">
        <v>180</v>
      </c>
      <c r="I3" s="12">
        <v>830037946</v>
      </c>
      <c r="J3" s="13" t="s">
        <v>181</v>
      </c>
      <c r="K3" s="14">
        <v>1840</v>
      </c>
      <c r="L3" s="15" t="s">
        <v>250</v>
      </c>
      <c r="M3" s="16">
        <v>1785</v>
      </c>
      <c r="N3" s="16">
        <v>0</v>
      </c>
      <c r="O3" s="16">
        <v>3284400</v>
      </c>
      <c r="P3" s="14" t="s">
        <v>182</v>
      </c>
    </row>
    <row r="4" spans="1:16" x14ac:dyDescent="0.3">
      <c r="A4" s="8" t="s">
        <v>252</v>
      </c>
      <c r="B4" s="9" t="s">
        <v>281</v>
      </c>
      <c r="C4" s="10" t="s">
        <v>282</v>
      </c>
      <c r="D4" s="11">
        <v>43972</v>
      </c>
      <c r="E4" s="11">
        <v>43972</v>
      </c>
      <c r="F4" s="31">
        <v>2520000</v>
      </c>
      <c r="G4" s="32">
        <v>0</v>
      </c>
      <c r="H4" s="8" t="s">
        <v>255</v>
      </c>
      <c r="I4" s="12">
        <v>830037946</v>
      </c>
      <c r="J4" s="13" t="s">
        <v>283</v>
      </c>
      <c r="K4" s="14">
        <v>1500</v>
      </c>
      <c r="L4" s="15" t="s">
        <v>250</v>
      </c>
      <c r="M4" s="16">
        <v>1414</v>
      </c>
      <c r="N4" s="16">
        <v>266</v>
      </c>
      <c r="O4" s="16">
        <f t="shared" ref="O4" si="0">K4*(M4+N4)</f>
        <v>2520000</v>
      </c>
      <c r="P4" s="14" t="s">
        <v>182</v>
      </c>
    </row>
    <row r="5" spans="1:16" x14ac:dyDescent="0.3">
      <c r="A5" s="8" t="s">
        <v>320</v>
      </c>
      <c r="B5" s="9" t="s">
        <v>355</v>
      </c>
      <c r="C5" s="10" t="s">
        <v>356</v>
      </c>
      <c r="D5" s="11">
        <v>43969</v>
      </c>
      <c r="E5" s="11">
        <v>43969</v>
      </c>
      <c r="F5" s="31">
        <v>2192694</v>
      </c>
      <c r="G5" s="32">
        <v>0</v>
      </c>
      <c r="H5" s="8" t="s">
        <v>357</v>
      </c>
      <c r="I5" s="12">
        <v>830037946</v>
      </c>
      <c r="J5" s="13" t="s">
        <v>358</v>
      </c>
      <c r="K5" s="14">
        <v>268</v>
      </c>
      <c r="L5" s="15" t="s">
        <v>250</v>
      </c>
      <c r="M5" s="16">
        <v>1500</v>
      </c>
      <c r="N5" s="16">
        <f>M5*0.19</f>
        <v>285</v>
      </c>
      <c r="O5" s="16">
        <f>K5*(M5+N5)</f>
        <v>478380</v>
      </c>
      <c r="P5" s="14" t="s">
        <v>182</v>
      </c>
    </row>
    <row r="6" spans="1:16" x14ac:dyDescent="0.3">
      <c r="A6" s="8" t="s">
        <v>1161</v>
      </c>
      <c r="B6" s="9" t="s">
        <v>1186</v>
      </c>
      <c r="C6" s="10" t="s">
        <v>1187</v>
      </c>
      <c r="D6" s="11">
        <v>43971</v>
      </c>
      <c r="E6" s="11">
        <v>43971</v>
      </c>
      <c r="F6" s="31">
        <v>1004360</v>
      </c>
      <c r="G6" s="32">
        <v>0</v>
      </c>
      <c r="H6" s="8" t="s">
        <v>1188</v>
      </c>
      <c r="I6" s="12">
        <v>830037946</v>
      </c>
      <c r="J6" s="13" t="s">
        <v>1189</v>
      </c>
      <c r="K6" s="14">
        <v>200</v>
      </c>
      <c r="L6" s="15" t="s">
        <v>250</v>
      </c>
      <c r="M6" s="16">
        <v>1666</v>
      </c>
      <c r="N6" s="16">
        <v>0</v>
      </c>
      <c r="O6" s="16">
        <f t="shared" ref="O6:O7" si="1">K6*(M6+N6)</f>
        <v>333200</v>
      </c>
      <c r="P6" s="14" t="s">
        <v>182</v>
      </c>
    </row>
    <row r="7" spans="1:16" x14ac:dyDescent="0.3">
      <c r="A7" s="8" t="s">
        <v>1161</v>
      </c>
      <c r="B7" s="9" t="s">
        <v>1186</v>
      </c>
      <c r="C7" s="10" t="s">
        <v>1187</v>
      </c>
      <c r="D7" s="11">
        <v>43971</v>
      </c>
      <c r="E7" s="11">
        <v>43971</v>
      </c>
      <c r="F7" s="31">
        <v>1004360</v>
      </c>
      <c r="G7" s="32">
        <v>0</v>
      </c>
      <c r="H7" s="8" t="s">
        <v>1188</v>
      </c>
      <c r="I7" s="12">
        <v>830037946</v>
      </c>
      <c r="J7" s="13" t="s">
        <v>1190</v>
      </c>
      <c r="K7" s="14">
        <v>376</v>
      </c>
      <c r="L7" s="15" t="s">
        <v>250</v>
      </c>
      <c r="M7" s="16">
        <v>1785</v>
      </c>
      <c r="N7" s="16">
        <v>0</v>
      </c>
      <c r="O7" s="16">
        <f t="shared" si="1"/>
        <v>671160</v>
      </c>
      <c r="P7" s="14" t="s">
        <v>182</v>
      </c>
    </row>
  </sheetData>
  <dataValidations count="1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2 D2:I2 E3:E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B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H5:H7">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I5:I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A5:A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D5">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6:B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6:F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6:E7">
      <formula1>1900/1/1</formula1>
      <formula2>3000/1/1</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activeCell="P2" sqref="P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387</v>
      </c>
      <c r="B2" s="9" t="s">
        <v>397</v>
      </c>
      <c r="C2" s="10" t="s">
        <v>398</v>
      </c>
      <c r="D2" s="11">
        <v>44015</v>
      </c>
      <c r="E2" s="11">
        <v>44018</v>
      </c>
      <c r="F2" s="31">
        <v>201000100</v>
      </c>
      <c r="G2" s="32">
        <v>0</v>
      </c>
      <c r="H2" s="8" t="s">
        <v>390</v>
      </c>
      <c r="I2" s="12">
        <v>813005241</v>
      </c>
      <c r="J2" s="13" t="s">
        <v>401</v>
      </c>
      <c r="K2" s="14">
        <v>50</v>
      </c>
      <c r="L2" s="15" t="s">
        <v>250</v>
      </c>
      <c r="M2" s="16">
        <v>8000</v>
      </c>
      <c r="N2" s="16">
        <v>0</v>
      </c>
      <c r="O2" s="16">
        <f t="shared" ref="O2" si="0">K2*M2</f>
        <v>400000</v>
      </c>
      <c r="P2" s="14" t="s">
        <v>401</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1" workbookViewId="0">
      <selection activeCell="J4" sqref="J4"/>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1289</v>
      </c>
      <c r="B2" s="9" t="s">
        <v>1290</v>
      </c>
      <c r="C2" s="17" t="s">
        <v>1291</v>
      </c>
      <c r="D2" s="11">
        <v>43908</v>
      </c>
      <c r="E2" s="11">
        <v>43908</v>
      </c>
      <c r="F2" s="31">
        <v>7176804</v>
      </c>
      <c r="G2" s="32">
        <v>0</v>
      </c>
      <c r="H2" s="8" t="s">
        <v>1292</v>
      </c>
      <c r="I2" s="12">
        <v>800031358</v>
      </c>
      <c r="J2" s="13" t="s">
        <v>1470</v>
      </c>
      <c r="K2" s="14">
        <v>400</v>
      </c>
      <c r="L2" s="18" t="s">
        <v>172</v>
      </c>
      <c r="M2" s="16">
        <f>43167/20</f>
        <v>2158.35</v>
      </c>
      <c r="N2" s="16">
        <f t="shared" ref="N2" si="0">M2*0.19</f>
        <v>410.0865</v>
      </c>
      <c r="O2" s="16">
        <f t="shared" ref="O2:O4" si="1">K2*(M2+N2)</f>
        <v>1027374.5999999999</v>
      </c>
      <c r="P2" s="19" t="s">
        <v>1266</v>
      </c>
    </row>
    <row r="3" spans="1:16" x14ac:dyDescent="0.3">
      <c r="A3" s="8" t="s">
        <v>976</v>
      </c>
      <c r="B3" s="9" t="s">
        <v>1258</v>
      </c>
      <c r="C3" s="10" t="s">
        <v>1259</v>
      </c>
      <c r="D3" s="11">
        <v>43770</v>
      </c>
      <c r="E3" s="11">
        <v>43936</v>
      </c>
      <c r="F3" s="31">
        <v>0</v>
      </c>
      <c r="G3" s="32">
        <v>31068000</v>
      </c>
      <c r="H3" s="8" t="s">
        <v>1260</v>
      </c>
      <c r="I3" s="12">
        <v>812000152</v>
      </c>
      <c r="J3" s="13" t="s">
        <v>1265</v>
      </c>
      <c r="K3" s="14">
        <v>400</v>
      </c>
      <c r="L3" s="18" t="s">
        <v>172</v>
      </c>
      <c r="M3" s="16">
        <v>1750</v>
      </c>
      <c r="N3" s="16">
        <v>0</v>
      </c>
      <c r="O3" s="16">
        <f t="shared" si="1"/>
        <v>700000</v>
      </c>
      <c r="P3" s="14" t="s">
        <v>1266</v>
      </c>
    </row>
    <row r="4" spans="1:16" x14ac:dyDescent="0.3">
      <c r="A4" s="8" t="s">
        <v>976</v>
      </c>
      <c r="B4" s="9" t="s">
        <v>1258</v>
      </c>
      <c r="C4" s="10" t="s">
        <v>1259</v>
      </c>
      <c r="D4" s="11">
        <v>43770</v>
      </c>
      <c r="E4" s="11">
        <v>43936</v>
      </c>
      <c r="F4" s="31">
        <v>0</v>
      </c>
      <c r="G4" s="32">
        <v>31068000</v>
      </c>
      <c r="H4" s="8" t="s">
        <v>1260</v>
      </c>
      <c r="I4" s="12">
        <v>812000152</v>
      </c>
      <c r="J4" s="13" t="s">
        <v>1265</v>
      </c>
      <c r="K4" s="14">
        <v>379</v>
      </c>
      <c r="L4" s="18" t="s">
        <v>172</v>
      </c>
      <c r="M4" s="16">
        <v>1849</v>
      </c>
      <c r="N4" s="16">
        <v>0</v>
      </c>
      <c r="O4" s="16">
        <f t="shared" si="1"/>
        <v>700771</v>
      </c>
      <c r="P4" s="14" t="s">
        <v>1266</v>
      </c>
    </row>
  </sheetData>
  <dataValidations count="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2 D2:I2">
      <formula1>1900/1/1</formula1>
      <formula2>3000/1/1</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J1" workbookViewId="0">
      <selection activeCell="O11" sqref="O1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320</v>
      </c>
      <c r="B2" s="9" t="s">
        <v>355</v>
      </c>
      <c r="C2" s="10" t="s">
        <v>356</v>
      </c>
      <c r="D2" s="11">
        <v>43969</v>
      </c>
      <c r="E2" s="11">
        <v>43969</v>
      </c>
      <c r="F2" s="31">
        <v>2192694</v>
      </c>
      <c r="G2" s="32">
        <v>0</v>
      </c>
      <c r="H2" s="8" t="s">
        <v>357</v>
      </c>
      <c r="I2" s="12">
        <v>830037946</v>
      </c>
      <c r="J2" s="13" t="s">
        <v>1404</v>
      </c>
      <c r="K2" s="14">
        <f>74/2</f>
        <v>37</v>
      </c>
      <c r="L2" s="15" t="s">
        <v>1246</v>
      </c>
      <c r="M2" s="16">
        <f>8400*2</f>
        <v>16800</v>
      </c>
      <c r="N2" s="16">
        <f>M2*0.19</f>
        <v>3192</v>
      </c>
      <c r="O2" s="16">
        <f>K2*(M2+N2)</f>
        <v>739704</v>
      </c>
      <c r="P2" s="14" t="s">
        <v>1387</v>
      </c>
    </row>
    <row r="3" spans="1:16" x14ac:dyDescent="0.3">
      <c r="A3" s="8" t="s">
        <v>320</v>
      </c>
      <c r="B3" s="9" t="s">
        <v>355</v>
      </c>
      <c r="C3" s="10" t="s">
        <v>356</v>
      </c>
      <c r="D3" s="11">
        <v>43969</v>
      </c>
      <c r="E3" s="11">
        <v>43969</v>
      </c>
      <c r="F3" s="31">
        <v>2192694</v>
      </c>
      <c r="G3" s="32">
        <v>0</v>
      </c>
      <c r="H3" s="8" t="s">
        <v>357</v>
      </c>
      <c r="I3" s="12">
        <v>830037946</v>
      </c>
      <c r="J3" s="13" t="s">
        <v>1405</v>
      </c>
      <c r="K3" s="14">
        <v>63</v>
      </c>
      <c r="L3" s="15" t="s">
        <v>1246</v>
      </c>
      <c r="M3" s="16">
        <v>13000</v>
      </c>
      <c r="N3" s="16">
        <f>M3*0.19</f>
        <v>2470</v>
      </c>
      <c r="O3" s="16">
        <f>K3*(M3+N3)</f>
        <v>974610</v>
      </c>
      <c r="P3" s="14" t="s">
        <v>1387</v>
      </c>
    </row>
    <row r="4" spans="1:16" x14ac:dyDescent="0.3">
      <c r="A4" s="8" t="s">
        <v>387</v>
      </c>
      <c r="B4" s="9" t="s">
        <v>397</v>
      </c>
      <c r="C4" s="10" t="s">
        <v>398</v>
      </c>
      <c r="D4" s="11">
        <v>44015</v>
      </c>
      <c r="E4" s="11">
        <v>44018</v>
      </c>
      <c r="F4" s="31">
        <v>201000100</v>
      </c>
      <c r="G4" s="32">
        <v>0</v>
      </c>
      <c r="H4" s="8" t="s">
        <v>390</v>
      </c>
      <c r="I4" s="12">
        <v>813005241</v>
      </c>
      <c r="J4" s="13" t="s">
        <v>1406</v>
      </c>
      <c r="K4" s="14">
        <v>200</v>
      </c>
      <c r="L4" s="15" t="s">
        <v>1246</v>
      </c>
      <c r="M4" s="16">
        <v>17500</v>
      </c>
      <c r="N4" s="16">
        <v>0</v>
      </c>
      <c r="O4" s="16">
        <f t="shared" ref="O4" si="0">K4*M4</f>
        <v>3500000</v>
      </c>
      <c r="P4" s="14" t="s">
        <v>1387</v>
      </c>
    </row>
    <row r="5" spans="1:16" x14ac:dyDescent="0.3">
      <c r="A5" s="8" t="s">
        <v>490</v>
      </c>
      <c r="B5" s="9" t="s">
        <v>539</v>
      </c>
      <c r="C5" s="10" t="s">
        <v>540</v>
      </c>
      <c r="D5" s="11">
        <v>44015</v>
      </c>
      <c r="E5" s="11">
        <v>44018</v>
      </c>
      <c r="F5" s="31">
        <v>14999192</v>
      </c>
      <c r="G5" s="32">
        <v>0</v>
      </c>
      <c r="H5" s="8" t="s">
        <v>541</v>
      </c>
      <c r="I5" s="12">
        <v>900471617</v>
      </c>
      <c r="J5" s="13" t="s">
        <v>1407</v>
      </c>
      <c r="K5" s="14">
        <v>303</v>
      </c>
      <c r="L5" s="15" t="s">
        <v>1246</v>
      </c>
      <c r="M5" s="16">
        <v>5600</v>
      </c>
      <c r="N5" s="16">
        <f t="shared" ref="N5:N9" si="1">M5*0.19</f>
        <v>1064</v>
      </c>
      <c r="O5" s="16">
        <f t="shared" ref="O5:O10" si="2">K5*(M5+N5)</f>
        <v>2019192</v>
      </c>
      <c r="P5" s="14" t="s">
        <v>1387</v>
      </c>
    </row>
    <row r="6" spans="1:16" x14ac:dyDescent="0.3">
      <c r="A6" s="8" t="s">
        <v>544</v>
      </c>
      <c r="B6" s="9" t="s">
        <v>568</v>
      </c>
      <c r="C6" s="10" t="s">
        <v>564</v>
      </c>
      <c r="D6" s="11" t="s">
        <v>565</v>
      </c>
      <c r="E6" s="11" t="s">
        <v>565</v>
      </c>
      <c r="F6" s="31">
        <v>1081500</v>
      </c>
      <c r="G6" s="32">
        <v>0</v>
      </c>
      <c r="H6" s="8" t="s">
        <v>569</v>
      </c>
      <c r="I6" s="12">
        <v>15354493</v>
      </c>
      <c r="J6" s="13" t="s">
        <v>571</v>
      </c>
      <c r="K6" s="14">
        <f>5</f>
        <v>5</v>
      </c>
      <c r="L6" s="15" t="s">
        <v>1246</v>
      </c>
      <c r="M6" s="16">
        <f>46.2184*100</f>
        <v>4621.84</v>
      </c>
      <c r="N6" s="16">
        <f t="shared" si="1"/>
        <v>878.14960000000008</v>
      </c>
      <c r="O6" s="16">
        <f t="shared" si="2"/>
        <v>27499.948</v>
      </c>
      <c r="P6" s="14" t="s">
        <v>1387</v>
      </c>
    </row>
    <row r="7" spans="1:16" x14ac:dyDescent="0.3">
      <c r="A7" s="8" t="s">
        <v>544</v>
      </c>
      <c r="B7" s="9" t="s">
        <v>568</v>
      </c>
      <c r="C7" s="10" t="s">
        <v>564</v>
      </c>
      <c r="D7" s="11" t="s">
        <v>565</v>
      </c>
      <c r="E7" s="11" t="s">
        <v>565</v>
      </c>
      <c r="F7" s="31">
        <v>1081500</v>
      </c>
      <c r="G7" s="32">
        <v>0</v>
      </c>
      <c r="H7" s="8" t="s">
        <v>569</v>
      </c>
      <c r="I7" s="12">
        <v>15354493</v>
      </c>
      <c r="J7" s="13" t="s">
        <v>572</v>
      </c>
      <c r="K7" s="14">
        <v>6</v>
      </c>
      <c r="L7" s="15" t="s">
        <v>1246</v>
      </c>
      <c r="M7" s="16">
        <f>58.8235*100</f>
        <v>5882.35</v>
      </c>
      <c r="N7" s="16">
        <f t="shared" si="1"/>
        <v>1117.6465000000001</v>
      </c>
      <c r="O7" s="16">
        <f t="shared" si="2"/>
        <v>41999.978999999999</v>
      </c>
      <c r="P7" s="14" t="s">
        <v>1387</v>
      </c>
    </row>
    <row r="8" spans="1:16" x14ac:dyDescent="0.3">
      <c r="A8" s="8" t="s">
        <v>544</v>
      </c>
      <c r="B8" s="9" t="s">
        <v>612</v>
      </c>
      <c r="C8" s="10" t="s">
        <v>613</v>
      </c>
      <c r="D8" s="11">
        <v>43973</v>
      </c>
      <c r="E8" s="11">
        <v>43973</v>
      </c>
      <c r="F8" s="31">
        <v>28720000</v>
      </c>
      <c r="G8" s="32">
        <v>0</v>
      </c>
      <c r="H8" s="8" t="s">
        <v>614</v>
      </c>
      <c r="I8" s="12">
        <v>15354493</v>
      </c>
      <c r="J8" s="13" t="s">
        <v>616</v>
      </c>
      <c r="K8" s="14">
        <v>5</v>
      </c>
      <c r="L8" s="15" t="s">
        <v>1246</v>
      </c>
      <c r="M8" s="16">
        <f>184.874*100</f>
        <v>18487.399999999998</v>
      </c>
      <c r="N8" s="16">
        <f t="shared" si="1"/>
        <v>3512.6059999999998</v>
      </c>
      <c r="O8" s="16">
        <f t="shared" si="2"/>
        <v>110000.02999999998</v>
      </c>
      <c r="P8" s="14" t="s">
        <v>1387</v>
      </c>
    </row>
    <row r="9" spans="1:16" x14ac:dyDescent="0.3">
      <c r="A9" s="8" t="s">
        <v>544</v>
      </c>
      <c r="B9" s="9" t="s">
        <v>612</v>
      </c>
      <c r="C9" s="10" t="s">
        <v>613</v>
      </c>
      <c r="D9" s="11">
        <v>43973</v>
      </c>
      <c r="E9" s="11">
        <v>43973</v>
      </c>
      <c r="F9" s="31">
        <v>28720000</v>
      </c>
      <c r="G9" s="32">
        <v>0</v>
      </c>
      <c r="H9" s="8" t="s">
        <v>614</v>
      </c>
      <c r="I9" s="12">
        <v>15354493</v>
      </c>
      <c r="J9" s="13" t="s">
        <v>617</v>
      </c>
      <c r="K9" s="14">
        <v>5</v>
      </c>
      <c r="L9" s="15" t="s">
        <v>1246</v>
      </c>
      <c r="M9" s="16">
        <v>26890.76</v>
      </c>
      <c r="N9" s="16">
        <f t="shared" si="1"/>
        <v>5109.2443999999996</v>
      </c>
      <c r="O9" s="16">
        <f t="shared" si="2"/>
        <v>160000.022</v>
      </c>
      <c r="P9" s="14" t="s">
        <v>1387</v>
      </c>
    </row>
    <row r="10" spans="1:16" x14ac:dyDescent="0.3">
      <c r="A10" s="8" t="s">
        <v>1161</v>
      </c>
      <c r="B10" s="9" t="s">
        <v>1202</v>
      </c>
      <c r="C10" s="10" t="s">
        <v>1203</v>
      </c>
      <c r="D10" s="11">
        <v>44001</v>
      </c>
      <c r="E10" s="11">
        <v>44001</v>
      </c>
      <c r="F10" s="31">
        <v>1063680</v>
      </c>
      <c r="G10" s="32">
        <v>0</v>
      </c>
      <c r="H10" s="8" t="s">
        <v>149</v>
      </c>
      <c r="I10" s="12">
        <v>830037946</v>
      </c>
      <c r="J10" s="13" t="s">
        <v>1388</v>
      </c>
      <c r="K10" s="14">
        <v>40</v>
      </c>
      <c r="L10" s="15" t="s">
        <v>1246</v>
      </c>
      <c r="M10" s="16">
        <f>9996*2</f>
        <v>19992</v>
      </c>
      <c r="N10" s="16">
        <v>0</v>
      </c>
      <c r="O10" s="16">
        <f t="shared" si="2"/>
        <v>799680</v>
      </c>
      <c r="P10" s="14" t="s">
        <v>1387</v>
      </c>
    </row>
  </sheetData>
  <dataValidations xWindow="279" yWindow="630" count="12">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B5:B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3 H5 H9">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I3 I5 I8:I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5 A8:A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3 F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3 E5 E1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3 D5:D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4:G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8:B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8:F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9">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0">
      <formula1>0</formula1>
      <formula2>390</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J1" workbookViewId="0">
      <selection activeCell="O4" sqref="O4"/>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71</v>
      </c>
      <c r="B2" s="9" t="s">
        <v>72</v>
      </c>
      <c r="C2" s="10" t="s">
        <v>73</v>
      </c>
      <c r="D2" s="11">
        <v>44035</v>
      </c>
      <c r="E2" s="11">
        <v>44035</v>
      </c>
      <c r="F2" s="31">
        <v>3474800</v>
      </c>
      <c r="G2" s="32">
        <v>0</v>
      </c>
      <c r="H2" s="8" t="s">
        <v>74</v>
      </c>
      <c r="I2" s="12">
        <v>830037946</v>
      </c>
      <c r="J2" s="13" t="s">
        <v>75</v>
      </c>
      <c r="K2" s="14">
        <v>73</v>
      </c>
      <c r="L2" s="15" t="s">
        <v>250</v>
      </c>
      <c r="M2" s="16">
        <v>47600</v>
      </c>
      <c r="N2" s="16">
        <v>0</v>
      </c>
      <c r="O2" s="16">
        <f>K2*(M2+N2)</f>
        <v>3474800</v>
      </c>
      <c r="P2" s="14" t="s">
        <v>383</v>
      </c>
    </row>
    <row r="3" spans="1:16" x14ac:dyDescent="0.3">
      <c r="A3" s="8" t="s">
        <v>86</v>
      </c>
      <c r="B3" s="9">
        <v>53248</v>
      </c>
      <c r="C3" s="10" t="s">
        <v>152</v>
      </c>
      <c r="D3" s="11">
        <v>44048</v>
      </c>
      <c r="E3" s="11">
        <v>44048</v>
      </c>
      <c r="F3" s="31">
        <v>7076358</v>
      </c>
      <c r="G3" s="32">
        <v>0</v>
      </c>
      <c r="H3" s="8" t="s">
        <v>149</v>
      </c>
      <c r="I3" s="12">
        <v>830037946</v>
      </c>
      <c r="J3" s="13" t="s">
        <v>152</v>
      </c>
      <c r="K3" s="14">
        <v>131</v>
      </c>
      <c r="L3" s="15" t="s">
        <v>250</v>
      </c>
      <c r="M3" s="16">
        <v>54018</v>
      </c>
      <c r="N3" s="16">
        <v>0</v>
      </c>
      <c r="O3" s="16">
        <f t="shared" ref="O3:O14" si="0">K3*(M3+N3)</f>
        <v>7076358</v>
      </c>
      <c r="P3" s="14" t="s">
        <v>383</v>
      </c>
    </row>
    <row r="4" spans="1:16" x14ac:dyDescent="0.3">
      <c r="A4" s="8" t="s">
        <v>320</v>
      </c>
      <c r="B4" s="9" t="s">
        <v>380</v>
      </c>
      <c r="C4" s="10" t="s">
        <v>381</v>
      </c>
      <c r="D4" s="11">
        <v>44008</v>
      </c>
      <c r="E4" s="11">
        <v>44008</v>
      </c>
      <c r="F4" s="31">
        <v>1264500</v>
      </c>
      <c r="G4" s="32">
        <v>0</v>
      </c>
      <c r="H4" s="8" t="s">
        <v>74</v>
      </c>
      <c r="I4" s="12">
        <v>830037946</v>
      </c>
      <c r="J4" s="13" t="s">
        <v>382</v>
      </c>
      <c r="K4" s="14">
        <v>45</v>
      </c>
      <c r="L4" s="15" t="s">
        <v>250</v>
      </c>
      <c r="M4" s="16">
        <v>28100</v>
      </c>
      <c r="N4" s="16">
        <v>0</v>
      </c>
      <c r="O4" s="16">
        <f t="shared" si="0"/>
        <v>1264500</v>
      </c>
      <c r="P4" s="14" t="s">
        <v>383</v>
      </c>
    </row>
    <row r="5" spans="1:16" x14ac:dyDescent="0.3">
      <c r="A5" s="8" t="s">
        <v>320</v>
      </c>
      <c r="B5" s="9" t="s">
        <v>384</v>
      </c>
      <c r="C5" s="10" t="s">
        <v>1218</v>
      </c>
      <c r="D5" s="11">
        <v>44013</v>
      </c>
      <c r="E5" s="11">
        <v>44013</v>
      </c>
      <c r="F5" s="31">
        <v>14984700</v>
      </c>
      <c r="G5" s="32">
        <v>0</v>
      </c>
      <c r="H5" s="8" t="s">
        <v>200</v>
      </c>
      <c r="I5" s="12">
        <v>830037946</v>
      </c>
      <c r="J5" s="13" t="s">
        <v>385</v>
      </c>
      <c r="K5" s="14">
        <v>172</v>
      </c>
      <c r="L5" s="15" t="s">
        <v>250</v>
      </c>
      <c r="M5" s="16">
        <v>57400</v>
      </c>
      <c r="N5" s="16">
        <v>0</v>
      </c>
      <c r="O5" s="16">
        <f t="shared" si="0"/>
        <v>9872800</v>
      </c>
      <c r="P5" s="14" t="s">
        <v>383</v>
      </c>
    </row>
    <row r="6" spans="1:16" x14ac:dyDescent="0.3">
      <c r="A6" s="8" t="s">
        <v>320</v>
      </c>
      <c r="B6" s="9" t="s">
        <v>384</v>
      </c>
      <c r="C6" s="10" t="s">
        <v>1218</v>
      </c>
      <c r="D6" s="11">
        <v>44013</v>
      </c>
      <c r="E6" s="11">
        <v>44013</v>
      </c>
      <c r="F6" s="31">
        <v>14984700</v>
      </c>
      <c r="G6" s="32">
        <v>0</v>
      </c>
      <c r="H6" s="8" t="s">
        <v>200</v>
      </c>
      <c r="I6" s="12">
        <v>830037946</v>
      </c>
      <c r="J6" s="13" t="s">
        <v>386</v>
      </c>
      <c r="K6" s="14">
        <v>97</v>
      </c>
      <c r="L6" s="15" t="s">
        <v>250</v>
      </c>
      <c r="M6" s="16">
        <v>52700</v>
      </c>
      <c r="N6" s="16">
        <v>0</v>
      </c>
      <c r="O6" s="16">
        <f t="shared" si="0"/>
        <v>5111900</v>
      </c>
      <c r="P6" s="14" t="s">
        <v>383</v>
      </c>
    </row>
    <row r="7" spans="1:16" x14ac:dyDescent="0.3">
      <c r="A7" s="8" t="s">
        <v>1322</v>
      </c>
      <c r="B7" s="9" t="s">
        <v>1330</v>
      </c>
      <c r="C7" s="17" t="s">
        <v>1331</v>
      </c>
      <c r="D7" s="11">
        <v>43945</v>
      </c>
      <c r="E7" s="11">
        <v>43945</v>
      </c>
      <c r="F7" s="31">
        <v>37196160</v>
      </c>
      <c r="G7" s="32">
        <v>0</v>
      </c>
      <c r="H7" s="8" t="s">
        <v>200</v>
      </c>
      <c r="I7" s="12">
        <v>800037946</v>
      </c>
      <c r="J7" s="13" t="s">
        <v>1334</v>
      </c>
      <c r="K7" s="14">
        <v>60</v>
      </c>
      <c r="L7" s="15" t="s">
        <v>250</v>
      </c>
      <c r="M7" s="16">
        <v>43316</v>
      </c>
      <c r="N7" s="16">
        <v>0</v>
      </c>
      <c r="O7" s="16">
        <f t="shared" si="0"/>
        <v>2598960</v>
      </c>
      <c r="P7" s="19" t="s">
        <v>383</v>
      </c>
    </row>
    <row r="8" spans="1:16" x14ac:dyDescent="0.3">
      <c r="A8" s="8" t="s">
        <v>387</v>
      </c>
      <c r="B8" s="9" t="s">
        <v>397</v>
      </c>
      <c r="C8" s="10" t="s">
        <v>398</v>
      </c>
      <c r="D8" s="11">
        <v>44015</v>
      </c>
      <c r="E8" s="11">
        <v>44018</v>
      </c>
      <c r="F8" s="31">
        <v>201000100</v>
      </c>
      <c r="G8" s="32">
        <v>0</v>
      </c>
      <c r="H8" s="8" t="s">
        <v>390</v>
      </c>
      <c r="I8" s="12">
        <v>813005241</v>
      </c>
      <c r="J8" s="13" t="s">
        <v>403</v>
      </c>
      <c r="K8" s="14">
        <v>150</v>
      </c>
      <c r="L8" s="15" t="s">
        <v>250</v>
      </c>
      <c r="M8" s="16">
        <v>22000</v>
      </c>
      <c r="N8" s="16">
        <v>0</v>
      </c>
      <c r="O8" s="16">
        <f t="shared" si="0"/>
        <v>3300000</v>
      </c>
      <c r="P8" s="14" t="s">
        <v>383</v>
      </c>
    </row>
    <row r="9" spans="1:16" x14ac:dyDescent="0.3">
      <c r="A9" s="8" t="s">
        <v>407</v>
      </c>
      <c r="B9" s="9" t="s">
        <v>488</v>
      </c>
      <c r="C9" s="10" t="s">
        <v>489</v>
      </c>
      <c r="D9" s="11">
        <v>44046</v>
      </c>
      <c r="E9" s="11">
        <v>44046</v>
      </c>
      <c r="F9" s="31">
        <v>2310208</v>
      </c>
      <c r="G9" s="32">
        <v>0</v>
      </c>
      <c r="H9" s="8" t="s">
        <v>200</v>
      </c>
      <c r="I9" s="12">
        <v>830037946</v>
      </c>
      <c r="J9" s="13" t="s">
        <v>489</v>
      </c>
      <c r="K9" s="14">
        <v>32</v>
      </c>
      <c r="L9" s="15" t="s">
        <v>250</v>
      </c>
      <c r="M9" s="16">
        <v>72194</v>
      </c>
      <c r="N9" s="16">
        <v>0</v>
      </c>
      <c r="O9" s="16">
        <f t="shared" si="0"/>
        <v>2310208</v>
      </c>
      <c r="P9" s="14" t="s">
        <v>383</v>
      </c>
    </row>
    <row r="10" spans="1:16" x14ac:dyDescent="0.3">
      <c r="A10" s="8" t="s">
        <v>490</v>
      </c>
      <c r="B10" s="9" t="s">
        <v>539</v>
      </c>
      <c r="C10" s="10" t="s">
        <v>540</v>
      </c>
      <c r="D10" s="11">
        <v>44015</v>
      </c>
      <c r="E10" s="11">
        <v>44018</v>
      </c>
      <c r="F10" s="31">
        <v>14999192</v>
      </c>
      <c r="G10" s="32">
        <v>0</v>
      </c>
      <c r="H10" s="8" t="s">
        <v>541</v>
      </c>
      <c r="I10" s="12">
        <v>900471617</v>
      </c>
      <c r="J10" s="13" t="s">
        <v>542</v>
      </c>
      <c r="K10" s="14">
        <v>440</v>
      </c>
      <c r="L10" s="15" t="s">
        <v>250</v>
      </c>
      <c r="M10" s="16">
        <v>29500</v>
      </c>
      <c r="N10" s="16">
        <v>0</v>
      </c>
      <c r="O10" s="16">
        <f t="shared" si="0"/>
        <v>12980000</v>
      </c>
      <c r="P10" s="14" t="s">
        <v>383</v>
      </c>
    </row>
    <row r="11" spans="1:16" x14ac:dyDescent="0.3">
      <c r="A11" s="8" t="s">
        <v>728</v>
      </c>
      <c r="B11" s="9" t="s">
        <v>870</v>
      </c>
      <c r="C11" s="10" t="s">
        <v>871</v>
      </c>
      <c r="D11" s="11">
        <v>44005</v>
      </c>
      <c r="E11" s="11">
        <v>44005</v>
      </c>
      <c r="F11" s="31">
        <v>13923759</v>
      </c>
      <c r="G11" s="32">
        <v>0</v>
      </c>
      <c r="H11" s="8" t="s">
        <v>368</v>
      </c>
      <c r="I11" s="12">
        <v>900155107</v>
      </c>
      <c r="J11" s="13" t="s">
        <v>872</v>
      </c>
      <c r="K11" s="14">
        <v>250</v>
      </c>
      <c r="L11" s="15" t="s">
        <v>250</v>
      </c>
      <c r="M11" s="16">
        <v>55462</v>
      </c>
      <c r="N11" s="16">
        <v>233.036</v>
      </c>
      <c r="O11" s="16">
        <f t="shared" si="0"/>
        <v>13923759</v>
      </c>
      <c r="P11" s="14" t="s">
        <v>383</v>
      </c>
    </row>
    <row r="12" spans="1:16" x14ac:dyDescent="0.3">
      <c r="A12" s="8" t="s">
        <v>976</v>
      </c>
      <c r="B12" s="9" t="s">
        <v>1045</v>
      </c>
      <c r="C12" s="10" t="s">
        <v>1046</v>
      </c>
      <c r="D12" s="11">
        <v>43993</v>
      </c>
      <c r="E12" s="11">
        <v>43993</v>
      </c>
      <c r="F12" s="31">
        <v>3262680</v>
      </c>
      <c r="G12" s="32">
        <v>0</v>
      </c>
      <c r="H12" s="8" t="s">
        <v>200</v>
      </c>
      <c r="I12" s="12">
        <v>830037946</v>
      </c>
      <c r="J12" s="13" t="s">
        <v>1047</v>
      </c>
      <c r="K12" s="14">
        <v>54</v>
      </c>
      <c r="L12" s="15" t="s">
        <v>250</v>
      </c>
      <c r="M12" s="16">
        <v>57000</v>
      </c>
      <c r="N12" s="16">
        <f>M12*0.06</f>
        <v>3420</v>
      </c>
      <c r="O12" s="16">
        <f t="shared" si="0"/>
        <v>3262680</v>
      </c>
      <c r="P12" s="14" t="s">
        <v>383</v>
      </c>
    </row>
    <row r="13" spans="1:16" x14ac:dyDescent="0.3">
      <c r="A13" s="8" t="s">
        <v>1115</v>
      </c>
      <c r="B13" s="9" t="s">
        <v>1155</v>
      </c>
      <c r="C13" s="10" t="s">
        <v>1228</v>
      </c>
      <c r="D13" s="11">
        <v>44014</v>
      </c>
      <c r="E13" s="11">
        <v>44014</v>
      </c>
      <c r="F13" s="31">
        <v>4436960</v>
      </c>
      <c r="G13" s="32">
        <v>0</v>
      </c>
      <c r="H13" s="8" t="s">
        <v>218</v>
      </c>
      <c r="I13" s="12">
        <v>900155107</v>
      </c>
      <c r="J13" s="13" t="s">
        <v>1156</v>
      </c>
      <c r="K13" s="14">
        <v>80</v>
      </c>
      <c r="L13" s="15" t="s">
        <v>250</v>
      </c>
      <c r="M13" s="16">
        <v>55462</v>
      </c>
      <c r="N13" s="16">
        <v>0</v>
      </c>
      <c r="O13" s="16">
        <f t="shared" si="0"/>
        <v>4436960</v>
      </c>
      <c r="P13" s="19" t="s">
        <v>383</v>
      </c>
    </row>
    <row r="14" spans="1:16" x14ac:dyDescent="0.3">
      <c r="A14" s="8" t="s">
        <v>1161</v>
      </c>
      <c r="B14" s="9" t="s">
        <v>1197</v>
      </c>
      <c r="C14" s="10" t="s">
        <v>1198</v>
      </c>
      <c r="D14" s="11">
        <v>44001</v>
      </c>
      <c r="E14" s="11">
        <v>44001</v>
      </c>
      <c r="F14" s="31">
        <v>3957720</v>
      </c>
      <c r="G14" s="32">
        <v>0</v>
      </c>
      <c r="H14" s="8" t="s">
        <v>715</v>
      </c>
      <c r="I14" s="12">
        <v>900155107</v>
      </c>
      <c r="J14" s="13" t="s">
        <v>1201</v>
      </c>
      <c r="K14" s="14">
        <v>60</v>
      </c>
      <c r="L14" s="15" t="s">
        <v>250</v>
      </c>
      <c r="M14" s="16">
        <v>55462</v>
      </c>
      <c r="N14" s="16">
        <v>0</v>
      </c>
      <c r="O14" s="16">
        <f t="shared" si="0"/>
        <v>3327720</v>
      </c>
      <c r="P14" s="14" t="s">
        <v>383</v>
      </c>
    </row>
  </sheetData>
  <dataValidations count="12">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B7 B9:B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H7 H9:H11">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I9 I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A5:A1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7 F9 F11:F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 E7 E9 E11:E12 D13:I13 A13:B13 E14">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D7 D9 D11:D12">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7 I10">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8 G1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0:E1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4">
      <formula1>0</formula1>
      <formula2>390</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J1" workbookViewId="0">
      <selection activeCell="O1" sqref="O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61</v>
      </c>
      <c r="C2" s="10" t="s">
        <v>62</v>
      </c>
      <c r="D2" s="11">
        <v>43987</v>
      </c>
      <c r="E2" s="11">
        <v>43987</v>
      </c>
      <c r="F2" s="31">
        <v>9023000</v>
      </c>
      <c r="G2" s="32">
        <v>0</v>
      </c>
      <c r="H2" s="8" t="s">
        <v>63</v>
      </c>
      <c r="I2" s="12">
        <v>860062147</v>
      </c>
      <c r="J2" s="13" t="s">
        <v>64</v>
      </c>
      <c r="K2" s="14">
        <v>671</v>
      </c>
      <c r="L2" s="15" t="s">
        <v>250</v>
      </c>
      <c r="M2" s="16">
        <v>11300.08</v>
      </c>
      <c r="N2" s="16">
        <f t="shared" ref="N2" si="0">M2*19%</f>
        <v>2147.0151999999998</v>
      </c>
      <c r="O2" s="16">
        <f t="shared" ref="O2:O3" si="1">K2*(M2+N2)</f>
        <v>9023000.8792000003</v>
      </c>
      <c r="P2" s="14" t="s">
        <v>232</v>
      </c>
    </row>
    <row r="3" spans="1:16" x14ac:dyDescent="0.3">
      <c r="A3" s="8" t="s">
        <v>86</v>
      </c>
      <c r="B3" s="9">
        <v>51487</v>
      </c>
      <c r="C3" s="10" t="s">
        <v>137</v>
      </c>
      <c r="D3" s="11">
        <v>44015</v>
      </c>
      <c r="E3" s="11">
        <v>44015</v>
      </c>
      <c r="F3" s="31">
        <v>14970000</v>
      </c>
      <c r="G3" s="32">
        <v>0</v>
      </c>
      <c r="H3" s="8" t="s">
        <v>63</v>
      </c>
      <c r="I3" s="12">
        <v>8600621471</v>
      </c>
      <c r="J3" s="13" t="s">
        <v>138</v>
      </c>
      <c r="K3" s="14">
        <v>3000</v>
      </c>
      <c r="L3" s="15" t="s">
        <v>250</v>
      </c>
      <c r="M3" s="16">
        <v>4990</v>
      </c>
      <c r="N3" s="16">
        <v>0</v>
      </c>
      <c r="O3" s="16">
        <f t="shared" si="1"/>
        <v>14970000</v>
      </c>
      <c r="P3" s="14" t="s">
        <v>232</v>
      </c>
    </row>
    <row r="4" spans="1:16" x14ac:dyDescent="0.3">
      <c r="A4" s="8" t="s">
        <v>153</v>
      </c>
      <c r="B4" s="9" t="s">
        <v>228</v>
      </c>
      <c r="C4" s="10" t="s">
        <v>229</v>
      </c>
      <c r="D4" s="11">
        <v>43986</v>
      </c>
      <c r="E4" s="11">
        <v>43986</v>
      </c>
      <c r="F4" s="31">
        <v>11002000</v>
      </c>
      <c r="G4" s="32">
        <v>0</v>
      </c>
      <c r="H4" s="8" t="s">
        <v>230</v>
      </c>
      <c r="I4" s="12">
        <v>860062147</v>
      </c>
      <c r="J4" s="13" t="s">
        <v>231</v>
      </c>
      <c r="K4" s="14">
        <v>829</v>
      </c>
      <c r="L4" s="15" t="s">
        <v>250</v>
      </c>
      <c r="M4" s="16">
        <v>13000</v>
      </c>
      <c r="N4" s="16">
        <v>0</v>
      </c>
      <c r="O4" s="16">
        <f>K4*M4</f>
        <v>10777000</v>
      </c>
      <c r="P4" s="14" t="s">
        <v>232</v>
      </c>
    </row>
    <row r="5" spans="1:16" x14ac:dyDescent="0.3">
      <c r="A5" s="8" t="s">
        <v>153</v>
      </c>
      <c r="B5" s="9" t="s">
        <v>247</v>
      </c>
      <c r="C5" s="10" t="s">
        <v>1216</v>
      </c>
      <c r="D5" s="11">
        <v>44041</v>
      </c>
      <c r="E5" s="11">
        <v>44041</v>
      </c>
      <c r="F5" s="31">
        <v>1341920</v>
      </c>
      <c r="G5" s="32">
        <v>0</v>
      </c>
      <c r="H5" s="8" t="s">
        <v>230</v>
      </c>
      <c r="I5" s="12">
        <v>860062147</v>
      </c>
      <c r="J5" s="13" t="s">
        <v>231</v>
      </c>
      <c r="K5" s="14">
        <v>388</v>
      </c>
      <c r="L5" s="15" t="s">
        <v>250</v>
      </c>
      <c r="M5" s="16">
        <v>2840</v>
      </c>
      <c r="N5" s="16">
        <v>0</v>
      </c>
      <c r="O5" s="16">
        <f t="shared" ref="O5:O12" si="2">K5*(M5+N5)</f>
        <v>1101920</v>
      </c>
      <c r="P5" s="14" t="s">
        <v>232</v>
      </c>
    </row>
    <row r="6" spans="1:16" x14ac:dyDescent="0.3">
      <c r="A6" s="8" t="s">
        <v>252</v>
      </c>
      <c r="B6" s="9" t="s">
        <v>273</v>
      </c>
      <c r="C6" s="10" t="s">
        <v>274</v>
      </c>
      <c r="D6" s="11">
        <v>43969</v>
      </c>
      <c r="E6" s="11">
        <v>43969</v>
      </c>
      <c r="F6" s="31">
        <v>1719600</v>
      </c>
      <c r="G6" s="32">
        <v>1719600</v>
      </c>
      <c r="H6" s="8" t="s">
        <v>54</v>
      </c>
      <c r="I6" s="12">
        <v>890900943</v>
      </c>
      <c r="J6" s="13" t="s">
        <v>275</v>
      </c>
      <c r="K6" s="14">
        <v>600</v>
      </c>
      <c r="L6" s="15" t="s">
        <v>250</v>
      </c>
      <c r="M6" s="16">
        <v>5732</v>
      </c>
      <c r="N6" s="16">
        <v>0</v>
      </c>
      <c r="O6" s="16">
        <f t="shared" si="2"/>
        <v>3439200</v>
      </c>
      <c r="P6" s="14" t="s">
        <v>232</v>
      </c>
    </row>
    <row r="7" spans="1:16" x14ac:dyDescent="0.3">
      <c r="A7" s="8" t="s">
        <v>252</v>
      </c>
      <c r="B7" s="9" t="s">
        <v>300</v>
      </c>
      <c r="C7" s="10" t="s">
        <v>301</v>
      </c>
      <c r="D7" s="11">
        <v>43999</v>
      </c>
      <c r="E7" s="11">
        <v>43999</v>
      </c>
      <c r="F7" s="31">
        <v>21212130</v>
      </c>
      <c r="G7" s="32">
        <v>0</v>
      </c>
      <c r="H7" s="8" t="s">
        <v>302</v>
      </c>
      <c r="I7" s="12">
        <v>890307682</v>
      </c>
      <c r="J7" s="13" t="s">
        <v>64</v>
      </c>
      <c r="K7" s="14">
        <v>3000</v>
      </c>
      <c r="L7" s="15" t="s">
        <v>250</v>
      </c>
      <c r="M7" s="16">
        <v>7070.71</v>
      </c>
      <c r="N7" s="16">
        <v>0</v>
      </c>
      <c r="O7" s="16">
        <f t="shared" si="2"/>
        <v>21212130</v>
      </c>
      <c r="P7" s="14" t="s">
        <v>232</v>
      </c>
    </row>
    <row r="8" spans="1:16" x14ac:dyDescent="0.3">
      <c r="A8" s="8" t="s">
        <v>320</v>
      </c>
      <c r="B8" s="9" t="s">
        <v>362</v>
      </c>
      <c r="C8" s="10" t="s">
        <v>363</v>
      </c>
      <c r="D8" s="11">
        <v>43983</v>
      </c>
      <c r="E8" s="11">
        <v>43983</v>
      </c>
      <c r="F8" s="31">
        <v>2672925</v>
      </c>
      <c r="G8" s="32">
        <v>0</v>
      </c>
      <c r="H8" s="8" t="s">
        <v>364</v>
      </c>
      <c r="I8" s="12">
        <v>890900943</v>
      </c>
      <c r="J8" s="13" t="s">
        <v>365</v>
      </c>
      <c r="K8" s="14">
        <v>471</v>
      </c>
      <c r="L8" s="15" t="s">
        <v>250</v>
      </c>
      <c r="M8" s="16">
        <v>5675</v>
      </c>
      <c r="N8" s="16">
        <v>0</v>
      </c>
      <c r="O8" s="16">
        <f t="shared" si="2"/>
        <v>2672925</v>
      </c>
      <c r="P8" s="14" t="s">
        <v>232</v>
      </c>
    </row>
    <row r="9" spans="1:16" x14ac:dyDescent="0.3">
      <c r="A9" s="8" t="s">
        <v>320</v>
      </c>
      <c r="B9" s="9" t="s">
        <v>373</v>
      </c>
      <c r="C9" s="10" t="s">
        <v>374</v>
      </c>
      <c r="D9" s="11">
        <v>44005</v>
      </c>
      <c r="E9" s="11">
        <v>44005</v>
      </c>
      <c r="F9" s="31">
        <v>3778000</v>
      </c>
      <c r="G9" s="32">
        <v>0</v>
      </c>
      <c r="H9" s="8" t="s">
        <v>375</v>
      </c>
      <c r="I9" s="12">
        <v>890307682</v>
      </c>
      <c r="J9" s="13" t="s">
        <v>376</v>
      </c>
      <c r="K9" s="14">
        <v>529</v>
      </c>
      <c r="L9" s="15" t="s">
        <v>250</v>
      </c>
      <c r="M9" s="16">
        <v>7000</v>
      </c>
      <c r="N9" s="16">
        <v>0</v>
      </c>
      <c r="O9" s="16">
        <f t="shared" si="2"/>
        <v>3703000</v>
      </c>
      <c r="P9" s="14" t="s">
        <v>232</v>
      </c>
    </row>
    <row r="10" spans="1:16" x14ac:dyDescent="0.3">
      <c r="A10" s="8" t="s">
        <v>387</v>
      </c>
      <c r="B10" s="9" t="s">
        <v>397</v>
      </c>
      <c r="C10" s="10" t="s">
        <v>398</v>
      </c>
      <c r="D10" s="11">
        <v>44015</v>
      </c>
      <c r="E10" s="11">
        <v>44018</v>
      </c>
      <c r="F10" s="31">
        <v>201000100</v>
      </c>
      <c r="G10" s="32">
        <v>0</v>
      </c>
      <c r="H10" s="8" t="s">
        <v>390</v>
      </c>
      <c r="I10" s="12">
        <v>813005241</v>
      </c>
      <c r="J10" s="13" t="s">
        <v>232</v>
      </c>
      <c r="K10" s="14">
        <v>1000</v>
      </c>
      <c r="L10" s="15" t="s">
        <v>250</v>
      </c>
      <c r="M10" s="16">
        <v>8300</v>
      </c>
      <c r="N10" s="16">
        <v>0</v>
      </c>
      <c r="O10" s="16">
        <f t="shared" si="2"/>
        <v>8300000</v>
      </c>
      <c r="P10" s="14" t="s">
        <v>232</v>
      </c>
    </row>
    <row r="11" spans="1:16" x14ac:dyDescent="0.3">
      <c r="A11" s="8" t="s">
        <v>407</v>
      </c>
      <c r="B11" s="9" t="s">
        <v>469</v>
      </c>
      <c r="C11" s="10" t="s">
        <v>471</v>
      </c>
      <c r="D11" s="11">
        <v>43987</v>
      </c>
      <c r="E11" s="11">
        <v>43987</v>
      </c>
      <c r="F11" s="31">
        <v>8100000</v>
      </c>
      <c r="G11" s="32">
        <v>2600000</v>
      </c>
      <c r="H11" s="8" t="s">
        <v>470</v>
      </c>
      <c r="I11" s="12">
        <v>860062147</v>
      </c>
      <c r="J11" s="13" t="s">
        <v>471</v>
      </c>
      <c r="K11" s="14">
        <f>600+200</f>
        <v>800</v>
      </c>
      <c r="L11" s="15" t="s">
        <v>250</v>
      </c>
      <c r="M11" s="16">
        <v>13000</v>
      </c>
      <c r="N11" s="16">
        <v>0</v>
      </c>
      <c r="O11" s="16">
        <f t="shared" si="2"/>
        <v>10400000</v>
      </c>
      <c r="P11" s="14" t="s">
        <v>232</v>
      </c>
    </row>
    <row r="12" spans="1:16" x14ac:dyDescent="0.3">
      <c r="A12" s="8" t="s">
        <v>490</v>
      </c>
      <c r="B12" s="9" t="s">
        <v>504</v>
      </c>
      <c r="C12" s="10" t="s">
        <v>505</v>
      </c>
      <c r="D12" s="11">
        <v>43994</v>
      </c>
      <c r="E12" s="11">
        <v>43998</v>
      </c>
      <c r="F12" s="31">
        <v>36000000</v>
      </c>
      <c r="G12" s="32">
        <v>0</v>
      </c>
      <c r="H12" s="8" t="s">
        <v>506</v>
      </c>
      <c r="I12" s="12">
        <v>900673010</v>
      </c>
      <c r="J12" s="13" t="s">
        <v>507</v>
      </c>
      <c r="K12" s="14">
        <v>4000</v>
      </c>
      <c r="L12" s="15" t="s">
        <v>250</v>
      </c>
      <c r="M12" s="16">
        <v>9000</v>
      </c>
      <c r="N12" s="16">
        <v>0</v>
      </c>
      <c r="O12" s="16">
        <f t="shared" si="2"/>
        <v>36000000</v>
      </c>
      <c r="P12" s="14" t="s">
        <v>232</v>
      </c>
    </row>
    <row r="13" spans="1:16" x14ac:dyDescent="0.3">
      <c r="A13" s="8" t="s">
        <v>623</v>
      </c>
      <c r="B13" s="9" t="s">
        <v>680</v>
      </c>
      <c r="C13" s="10" t="s">
        <v>661</v>
      </c>
      <c r="D13" s="11">
        <v>43984</v>
      </c>
      <c r="E13" s="11">
        <v>43990</v>
      </c>
      <c r="F13" s="31">
        <v>3253250</v>
      </c>
      <c r="G13" s="32">
        <v>0</v>
      </c>
      <c r="H13" s="8" t="s">
        <v>681</v>
      </c>
      <c r="I13" s="12">
        <v>900348560</v>
      </c>
      <c r="J13" s="13" t="s">
        <v>682</v>
      </c>
      <c r="K13" s="14">
        <v>275</v>
      </c>
      <c r="L13" s="15" t="s">
        <v>250</v>
      </c>
      <c r="M13" s="16">
        <v>11830</v>
      </c>
      <c r="N13" s="16">
        <v>0</v>
      </c>
      <c r="O13" s="16">
        <f t="shared" ref="O13:O22" si="3">K13*(M13+N13)</f>
        <v>3253250</v>
      </c>
      <c r="P13" s="14" t="s">
        <v>232</v>
      </c>
    </row>
    <row r="14" spans="1:16" x14ac:dyDescent="0.3">
      <c r="A14" s="8" t="s">
        <v>693</v>
      </c>
      <c r="B14" s="9" t="s">
        <v>714</v>
      </c>
      <c r="C14" s="10" t="s">
        <v>712</v>
      </c>
      <c r="D14" s="11">
        <v>43985</v>
      </c>
      <c r="E14" s="11">
        <v>43986</v>
      </c>
      <c r="F14" s="31">
        <v>44570660</v>
      </c>
      <c r="G14" s="32">
        <v>0</v>
      </c>
      <c r="H14" s="8" t="s">
        <v>715</v>
      </c>
      <c r="I14" s="12">
        <v>900155107</v>
      </c>
      <c r="J14" s="13" t="s">
        <v>716</v>
      </c>
      <c r="K14" s="14">
        <v>3100</v>
      </c>
      <c r="L14" s="15" t="s">
        <v>250</v>
      </c>
      <c r="M14" s="16">
        <v>7501</v>
      </c>
      <c r="N14" s="16">
        <v>0</v>
      </c>
      <c r="O14" s="16">
        <f t="shared" si="3"/>
        <v>23253100</v>
      </c>
      <c r="P14" s="14" t="s">
        <v>232</v>
      </c>
    </row>
    <row r="15" spans="1:16" x14ac:dyDescent="0.3">
      <c r="A15" s="8" t="s">
        <v>728</v>
      </c>
      <c r="B15" s="9" t="s">
        <v>778</v>
      </c>
      <c r="C15" s="10" t="s">
        <v>779</v>
      </c>
      <c r="D15" s="11">
        <v>43998</v>
      </c>
      <c r="E15" s="11">
        <v>43998</v>
      </c>
      <c r="F15" s="31">
        <v>16884432</v>
      </c>
      <c r="G15" s="32">
        <v>0</v>
      </c>
      <c r="H15" s="8" t="s">
        <v>375</v>
      </c>
      <c r="I15" s="12">
        <v>890307682</v>
      </c>
      <c r="J15" s="13" t="s">
        <v>231</v>
      </c>
      <c r="K15" s="14">
        <v>2400</v>
      </c>
      <c r="L15" s="15" t="s">
        <v>250</v>
      </c>
      <c r="M15" s="16">
        <v>7035.18</v>
      </c>
      <c r="N15" s="16">
        <v>0</v>
      </c>
      <c r="O15" s="16">
        <f t="shared" si="3"/>
        <v>16884432</v>
      </c>
      <c r="P15" s="14" t="s">
        <v>232</v>
      </c>
    </row>
    <row r="16" spans="1:16" x14ac:dyDescent="0.3">
      <c r="A16" s="8" t="s">
        <v>885</v>
      </c>
      <c r="B16" s="9">
        <v>50897</v>
      </c>
      <c r="C16" s="17" t="s">
        <v>1272</v>
      </c>
      <c r="D16" s="11">
        <v>44005</v>
      </c>
      <c r="E16" s="11">
        <v>44005</v>
      </c>
      <c r="F16" s="31">
        <v>1100000</v>
      </c>
      <c r="G16" s="32">
        <v>0</v>
      </c>
      <c r="H16" s="8" t="s">
        <v>200</v>
      </c>
      <c r="I16" s="12">
        <v>830037946</v>
      </c>
      <c r="J16" s="13" t="s">
        <v>232</v>
      </c>
      <c r="K16" s="14">
        <v>100</v>
      </c>
      <c r="L16" s="15" t="s">
        <v>250</v>
      </c>
      <c r="M16" s="16">
        <v>11000</v>
      </c>
      <c r="N16" s="16">
        <v>0</v>
      </c>
      <c r="O16" s="16">
        <f t="shared" si="3"/>
        <v>1100000</v>
      </c>
      <c r="P16" s="19" t="s">
        <v>232</v>
      </c>
    </row>
    <row r="17" spans="1:16" x14ac:dyDescent="0.3">
      <c r="A17" s="8" t="s">
        <v>959</v>
      </c>
      <c r="B17" s="9">
        <v>35</v>
      </c>
      <c r="C17" s="10" t="s">
        <v>960</v>
      </c>
      <c r="D17" s="11">
        <v>43477</v>
      </c>
      <c r="E17" s="11">
        <v>43800</v>
      </c>
      <c r="F17" s="31">
        <v>0</v>
      </c>
      <c r="G17" s="32">
        <v>67434392</v>
      </c>
      <c r="H17" s="8" t="s">
        <v>961</v>
      </c>
      <c r="I17" s="12">
        <v>811044253</v>
      </c>
      <c r="J17" s="13" t="s">
        <v>975</v>
      </c>
      <c r="K17" s="14">
        <v>750</v>
      </c>
      <c r="L17" s="15" t="s">
        <v>250</v>
      </c>
      <c r="M17" s="16">
        <v>14000</v>
      </c>
      <c r="N17" s="16">
        <v>0</v>
      </c>
      <c r="O17" s="16">
        <f t="shared" si="3"/>
        <v>10500000</v>
      </c>
      <c r="P17" s="14" t="s">
        <v>232</v>
      </c>
    </row>
    <row r="18" spans="1:16" x14ac:dyDescent="0.3">
      <c r="A18" s="8" t="s">
        <v>976</v>
      </c>
      <c r="B18" s="9" t="s">
        <v>1039</v>
      </c>
      <c r="C18" s="10" t="s">
        <v>1040</v>
      </c>
      <c r="D18" s="11">
        <v>43987</v>
      </c>
      <c r="E18" s="11">
        <v>43987</v>
      </c>
      <c r="F18" s="31">
        <v>4308511.47</v>
      </c>
      <c r="G18" s="32">
        <v>0</v>
      </c>
      <c r="H18" s="8" t="s">
        <v>230</v>
      </c>
      <c r="I18" s="12">
        <v>860062147</v>
      </c>
      <c r="J18" s="13" t="s">
        <v>231</v>
      </c>
      <c r="K18" s="14">
        <v>300</v>
      </c>
      <c r="L18" s="15" t="s">
        <v>250</v>
      </c>
      <c r="M18" s="16">
        <v>13829.79</v>
      </c>
      <c r="N18" s="16">
        <v>0</v>
      </c>
      <c r="O18" s="16">
        <f t="shared" si="3"/>
        <v>4148937.0000000005</v>
      </c>
      <c r="P18" s="14" t="s">
        <v>232</v>
      </c>
    </row>
    <row r="19" spans="1:16" x14ac:dyDescent="0.3">
      <c r="A19" s="8" t="s">
        <v>1055</v>
      </c>
      <c r="B19" s="9" t="s">
        <v>1091</v>
      </c>
      <c r="C19" s="10" t="s">
        <v>1092</v>
      </c>
      <c r="D19" s="11">
        <v>43994</v>
      </c>
      <c r="E19" s="11">
        <v>43994</v>
      </c>
      <c r="F19" s="31">
        <v>11313136</v>
      </c>
      <c r="G19" s="32">
        <v>0</v>
      </c>
      <c r="H19" s="8" t="s">
        <v>375</v>
      </c>
      <c r="I19" s="12">
        <v>890307682</v>
      </c>
      <c r="J19" s="13" t="s">
        <v>1093</v>
      </c>
      <c r="K19" s="14">
        <v>1600</v>
      </c>
      <c r="L19" s="15" t="s">
        <v>250</v>
      </c>
      <c r="M19" s="16">
        <v>7070.71</v>
      </c>
      <c r="N19" s="16">
        <v>0</v>
      </c>
      <c r="O19" s="16">
        <f t="shared" si="3"/>
        <v>11313136</v>
      </c>
      <c r="P19" s="14" t="s">
        <v>232</v>
      </c>
    </row>
    <row r="20" spans="1:16" x14ac:dyDescent="0.3">
      <c r="A20" s="8" t="s">
        <v>1115</v>
      </c>
      <c r="B20" s="9" t="s">
        <v>1149</v>
      </c>
      <c r="C20" s="10" t="s">
        <v>1150</v>
      </c>
      <c r="D20" s="11">
        <v>43994</v>
      </c>
      <c r="E20" s="11">
        <v>43994</v>
      </c>
      <c r="F20" s="31">
        <v>5053127.3099999996</v>
      </c>
      <c r="G20" s="32">
        <v>0</v>
      </c>
      <c r="H20" s="8" t="s">
        <v>1151</v>
      </c>
      <c r="I20" s="12">
        <v>890307682</v>
      </c>
      <c r="J20" s="13" t="s">
        <v>1152</v>
      </c>
      <c r="K20" s="14">
        <v>693</v>
      </c>
      <c r="L20" s="15" t="s">
        <v>250</v>
      </c>
      <c r="M20" s="16">
        <v>7291.67</v>
      </c>
      <c r="N20" s="16">
        <v>0</v>
      </c>
      <c r="O20" s="16">
        <f t="shared" si="3"/>
        <v>5053127.3099999996</v>
      </c>
      <c r="P20" s="19" t="s">
        <v>232</v>
      </c>
    </row>
    <row r="21" spans="1:16" x14ac:dyDescent="0.3">
      <c r="A21" s="8" t="s">
        <v>1161</v>
      </c>
      <c r="B21" s="9" t="s">
        <v>1208</v>
      </c>
      <c r="C21" s="10" t="s">
        <v>1206</v>
      </c>
      <c r="D21" s="11">
        <v>44008</v>
      </c>
      <c r="E21" s="11">
        <v>44008</v>
      </c>
      <c r="F21" s="31">
        <v>2535000</v>
      </c>
      <c r="G21" s="32">
        <v>0</v>
      </c>
      <c r="H21" s="8" t="s">
        <v>1209</v>
      </c>
      <c r="I21" s="12">
        <v>900505419</v>
      </c>
      <c r="J21" s="13" t="s">
        <v>1210</v>
      </c>
      <c r="K21" s="14">
        <v>350</v>
      </c>
      <c r="L21" s="15" t="s">
        <v>250</v>
      </c>
      <c r="M21" s="16">
        <v>6900</v>
      </c>
      <c r="N21" s="16">
        <v>0</v>
      </c>
      <c r="O21" s="16">
        <f t="shared" si="3"/>
        <v>2415000</v>
      </c>
      <c r="P21" s="14" t="s">
        <v>232</v>
      </c>
    </row>
    <row r="22" spans="1:16" x14ac:dyDescent="0.3">
      <c r="A22" s="8" t="s">
        <v>1161</v>
      </c>
      <c r="B22" s="9" t="s">
        <v>1215</v>
      </c>
      <c r="C22" s="10" t="s">
        <v>1230</v>
      </c>
      <c r="D22" s="11">
        <v>44034</v>
      </c>
      <c r="E22" s="11">
        <v>44034</v>
      </c>
      <c r="F22" s="31">
        <v>2410000</v>
      </c>
      <c r="G22" s="32">
        <v>0</v>
      </c>
      <c r="H22" s="8" t="s">
        <v>715</v>
      </c>
      <c r="I22" s="12">
        <v>901211678</v>
      </c>
      <c r="J22" s="13" t="s">
        <v>231</v>
      </c>
      <c r="K22" s="14">
        <v>600</v>
      </c>
      <c r="L22" s="15" t="s">
        <v>250</v>
      </c>
      <c r="M22" s="16">
        <v>3850</v>
      </c>
      <c r="N22" s="16">
        <v>0</v>
      </c>
      <c r="O22" s="16">
        <f t="shared" si="3"/>
        <v>2310000</v>
      </c>
      <c r="P22" s="14" t="s">
        <v>232</v>
      </c>
    </row>
  </sheetData>
  <dataValidations count="14">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H5 H7:H9 H11:H12 H17 H19 H21:H2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3 I5 I7">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5 A7:A12 A17:A18 A21:A2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5 F7:F9 F12 F17:F18 F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 B7:B9 B12 B17:B18 B21:B22">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5:E9 E12 E17:E18 D20:I20 A20:B20 E21">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 D7:D9 D12 D17:D18 D21:D22">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6">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8:I9 I11:I12 I17 I19 I21:I2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1 F19 F2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1:E11 D13:E16 D19:E19 E2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22">
      <formula1>0</formula1>
      <formula2>390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3:B365"/>
  <sheetViews>
    <sheetView workbookViewId="0">
      <selection activeCell="E11" sqref="E11"/>
    </sheetView>
  </sheetViews>
  <sheetFormatPr baseColWidth="10" defaultRowHeight="14.4" x14ac:dyDescent="0.3"/>
  <cols>
    <col min="1" max="1" width="38.44140625" customWidth="1"/>
    <col min="2" max="2" width="29" style="29" customWidth="1"/>
  </cols>
  <sheetData>
    <row r="3" spans="1:2" x14ac:dyDescent="0.3">
      <c r="A3" s="33" t="s">
        <v>1397</v>
      </c>
      <c r="B3" s="34" t="s">
        <v>1453</v>
      </c>
    </row>
    <row r="4" spans="1:2" x14ac:dyDescent="0.3">
      <c r="A4" s="27" t="s">
        <v>16</v>
      </c>
      <c r="B4" s="29">
        <v>176373515.22965157</v>
      </c>
    </row>
    <row r="5" spans="1:2" x14ac:dyDescent="0.3">
      <c r="A5" s="28" t="s">
        <v>1373</v>
      </c>
      <c r="B5" s="29">
        <v>37425024</v>
      </c>
    </row>
    <row r="6" spans="1:2" x14ac:dyDescent="0.3">
      <c r="A6" s="28" t="s">
        <v>232</v>
      </c>
      <c r="B6" s="29">
        <v>9023000.8792000003</v>
      </c>
    </row>
    <row r="7" spans="1:2" x14ac:dyDescent="0.3">
      <c r="A7" s="28" t="s">
        <v>1383</v>
      </c>
      <c r="B7" s="29">
        <v>11342249.856000001</v>
      </c>
    </row>
    <row r="8" spans="1:2" x14ac:dyDescent="0.3">
      <c r="A8" s="28" t="s">
        <v>1285</v>
      </c>
      <c r="B8" s="29">
        <v>17828727</v>
      </c>
    </row>
    <row r="9" spans="1:2" x14ac:dyDescent="0.3">
      <c r="A9" s="28" t="s">
        <v>34</v>
      </c>
      <c r="B9" s="29">
        <v>23117636.996851601</v>
      </c>
    </row>
    <row r="10" spans="1:2" x14ac:dyDescent="0.3">
      <c r="A10" s="28" t="s">
        <v>59</v>
      </c>
      <c r="B10" s="29">
        <v>6047349.6159999995</v>
      </c>
    </row>
    <row r="11" spans="1:2" x14ac:dyDescent="0.3">
      <c r="A11" s="28" t="s">
        <v>1389</v>
      </c>
      <c r="B11" s="29">
        <v>92820</v>
      </c>
    </row>
    <row r="12" spans="1:2" x14ac:dyDescent="0.3">
      <c r="A12" s="28" t="s">
        <v>36</v>
      </c>
      <c r="B12" s="29">
        <v>1136887.92</v>
      </c>
    </row>
    <row r="13" spans="1:2" x14ac:dyDescent="0.3">
      <c r="A13" s="28" t="s">
        <v>1274</v>
      </c>
      <c r="B13" s="29">
        <v>5010880.0126</v>
      </c>
    </row>
    <row r="14" spans="1:2" x14ac:dyDescent="0.3">
      <c r="A14" s="28" t="s">
        <v>25</v>
      </c>
      <c r="B14" s="29">
        <v>612850</v>
      </c>
    </row>
    <row r="15" spans="1:2" x14ac:dyDescent="0.3">
      <c r="A15" s="28" t="s">
        <v>95</v>
      </c>
      <c r="B15" s="29">
        <v>10674999.601</v>
      </c>
    </row>
    <row r="16" spans="1:2" x14ac:dyDescent="0.3">
      <c r="A16" s="28" t="s">
        <v>94</v>
      </c>
      <c r="B16" s="29">
        <v>7646049.8799999999</v>
      </c>
    </row>
    <row r="17" spans="1:2" x14ac:dyDescent="0.3">
      <c r="A17" s="28" t="s">
        <v>21</v>
      </c>
      <c r="B17" s="29">
        <v>1868300</v>
      </c>
    </row>
    <row r="18" spans="1:2" x14ac:dyDescent="0.3">
      <c r="A18" s="28" t="s">
        <v>1282</v>
      </c>
      <c r="B18" s="29">
        <v>42000000</v>
      </c>
    </row>
    <row r="19" spans="1:2" x14ac:dyDescent="0.3">
      <c r="A19" s="28" t="s">
        <v>1280</v>
      </c>
      <c r="B19" s="29">
        <v>2546739.4679999999</v>
      </c>
    </row>
    <row r="20" spans="1:2" x14ac:dyDescent="0.3">
      <c r="A20" s="27" t="s">
        <v>71</v>
      </c>
      <c r="B20" s="29">
        <v>68234993.955773681</v>
      </c>
    </row>
    <row r="21" spans="1:2" x14ac:dyDescent="0.3">
      <c r="A21" s="28" t="s">
        <v>1374</v>
      </c>
      <c r="B21" s="29">
        <v>64760193.955773689</v>
      </c>
    </row>
    <row r="22" spans="1:2" x14ac:dyDescent="0.3">
      <c r="A22" s="28" t="s">
        <v>383</v>
      </c>
      <c r="B22" s="29">
        <v>3474800</v>
      </c>
    </row>
    <row r="23" spans="1:2" x14ac:dyDescent="0.3">
      <c r="A23" s="27" t="s">
        <v>1289</v>
      </c>
      <c r="B23" s="29">
        <v>151061367.99000001</v>
      </c>
    </row>
    <row r="24" spans="1:2" x14ac:dyDescent="0.3">
      <c r="A24" s="28" t="s">
        <v>1402</v>
      </c>
      <c r="B24" s="29">
        <v>5103663.67</v>
      </c>
    </row>
    <row r="25" spans="1:2" x14ac:dyDescent="0.3">
      <c r="A25" s="28" t="s">
        <v>96</v>
      </c>
      <c r="B25" s="29">
        <v>15941900</v>
      </c>
    </row>
    <row r="26" spans="1:2" x14ac:dyDescent="0.3">
      <c r="A26" s="28" t="s">
        <v>182</v>
      </c>
      <c r="B26" s="29">
        <v>9000000</v>
      </c>
    </row>
    <row r="27" spans="1:2" x14ac:dyDescent="0.3">
      <c r="A27" s="28" t="s">
        <v>1266</v>
      </c>
      <c r="B27" s="29">
        <v>1027374.5999999999</v>
      </c>
    </row>
    <row r="28" spans="1:2" x14ac:dyDescent="0.3">
      <c r="A28" s="28" t="s">
        <v>23</v>
      </c>
      <c r="B28" s="29">
        <v>599760.00000000012</v>
      </c>
    </row>
    <row r="29" spans="1:2" x14ac:dyDescent="0.3">
      <c r="A29" s="28" t="s">
        <v>59</v>
      </c>
      <c r="B29" s="29">
        <v>6890700</v>
      </c>
    </row>
    <row r="30" spans="1:2" x14ac:dyDescent="0.3">
      <c r="A30" s="28" t="s">
        <v>36</v>
      </c>
      <c r="B30" s="29">
        <v>6104070.9100000001</v>
      </c>
    </row>
    <row r="31" spans="1:2" x14ac:dyDescent="0.3">
      <c r="A31" s="28" t="s">
        <v>1274</v>
      </c>
      <c r="B31" s="29">
        <v>20349000</v>
      </c>
    </row>
    <row r="32" spans="1:2" x14ac:dyDescent="0.3">
      <c r="A32" s="28" t="s">
        <v>95</v>
      </c>
      <c r="B32" s="29">
        <v>27986300</v>
      </c>
    </row>
    <row r="33" spans="1:2" x14ac:dyDescent="0.3">
      <c r="A33" s="28" t="s">
        <v>136</v>
      </c>
      <c r="B33" s="29">
        <v>3960000</v>
      </c>
    </row>
    <row r="34" spans="1:2" x14ac:dyDescent="0.3">
      <c r="A34" s="28" t="s">
        <v>94</v>
      </c>
      <c r="B34" s="29">
        <v>8830543.8100000005</v>
      </c>
    </row>
    <row r="35" spans="1:2" x14ac:dyDescent="0.3">
      <c r="A35" s="28" t="s">
        <v>21</v>
      </c>
      <c r="B35" s="29">
        <v>1588055.0000000002</v>
      </c>
    </row>
    <row r="36" spans="1:2" x14ac:dyDescent="0.3">
      <c r="A36" s="28" t="s">
        <v>1282</v>
      </c>
      <c r="B36" s="29">
        <v>43680000</v>
      </c>
    </row>
    <row r="37" spans="1:2" x14ac:dyDescent="0.3">
      <c r="A37" s="27" t="s">
        <v>86</v>
      </c>
      <c r="B37" s="29">
        <v>1573683790</v>
      </c>
    </row>
    <row r="38" spans="1:2" x14ac:dyDescent="0.3">
      <c r="A38" s="28" t="s">
        <v>96</v>
      </c>
      <c r="B38" s="29">
        <v>11212500</v>
      </c>
    </row>
    <row r="39" spans="1:2" x14ac:dyDescent="0.3">
      <c r="A39" s="28" t="s">
        <v>118</v>
      </c>
      <c r="B39" s="29">
        <v>147262500</v>
      </c>
    </row>
    <row r="40" spans="1:2" x14ac:dyDescent="0.3">
      <c r="A40" s="28" t="s">
        <v>1283</v>
      </c>
      <c r="B40" s="29">
        <v>185511753</v>
      </c>
    </row>
    <row r="41" spans="1:2" x14ac:dyDescent="0.3">
      <c r="A41" s="28" t="s">
        <v>383</v>
      </c>
      <c r="B41" s="29">
        <v>7076358</v>
      </c>
    </row>
    <row r="42" spans="1:2" x14ac:dyDescent="0.3">
      <c r="A42" s="28" t="s">
        <v>232</v>
      </c>
      <c r="B42" s="29">
        <v>14970000</v>
      </c>
    </row>
    <row r="43" spans="1:2" x14ac:dyDescent="0.3">
      <c r="A43" s="28" t="s">
        <v>104</v>
      </c>
      <c r="B43" s="29">
        <v>205679600</v>
      </c>
    </row>
    <row r="44" spans="1:2" x14ac:dyDescent="0.3">
      <c r="A44" s="28" t="s">
        <v>1383</v>
      </c>
      <c r="B44" s="29">
        <v>30011800</v>
      </c>
    </row>
    <row r="45" spans="1:2" x14ac:dyDescent="0.3">
      <c r="A45" s="28" t="s">
        <v>1372</v>
      </c>
      <c r="B45" s="29">
        <v>15913350</v>
      </c>
    </row>
    <row r="46" spans="1:2" x14ac:dyDescent="0.3">
      <c r="A46" s="28" t="s">
        <v>34</v>
      </c>
      <c r="B46" s="29">
        <v>64550000</v>
      </c>
    </row>
    <row r="47" spans="1:2" x14ac:dyDescent="0.3">
      <c r="A47" s="28" t="s">
        <v>23</v>
      </c>
      <c r="B47" s="29">
        <v>29250000</v>
      </c>
    </row>
    <row r="48" spans="1:2" x14ac:dyDescent="0.3">
      <c r="A48" s="28" t="s">
        <v>59</v>
      </c>
      <c r="B48" s="29">
        <v>27417000</v>
      </c>
    </row>
    <row r="49" spans="1:2" x14ac:dyDescent="0.3">
      <c r="A49" s="28" t="s">
        <v>1274</v>
      </c>
      <c r="B49" s="29">
        <v>150892000</v>
      </c>
    </row>
    <row r="50" spans="1:2" x14ac:dyDescent="0.3">
      <c r="A50" s="28" t="s">
        <v>106</v>
      </c>
      <c r="B50" s="29">
        <v>92486800</v>
      </c>
    </row>
    <row r="51" spans="1:2" x14ac:dyDescent="0.3">
      <c r="A51" s="28" t="s">
        <v>25</v>
      </c>
      <c r="B51" s="29">
        <v>19900000</v>
      </c>
    </row>
    <row r="52" spans="1:2" x14ac:dyDescent="0.3">
      <c r="A52" s="28" t="s">
        <v>98</v>
      </c>
      <c r="B52" s="29">
        <v>2665000</v>
      </c>
    </row>
    <row r="53" spans="1:2" x14ac:dyDescent="0.3">
      <c r="A53" s="28" t="s">
        <v>1385</v>
      </c>
      <c r="B53" s="29">
        <v>28000000</v>
      </c>
    </row>
    <row r="54" spans="1:2" x14ac:dyDescent="0.3">
      <c r="A54" s="28" t="s">
        <v>237</v>
      </c>
      <c r="B54" s="29">
        <v>18420129</v>
      </c>
    </row>
    <row r="55" spans="1:2" x14ac:dyDescent="0.3">
      <c r="A55" s="28" t="s">
        <v>95</v>
      </c>
      <c r="B55" s="29">
        <v>494035000</v>
      </c>
    </row>
    <row r="56" spans="1:2" x14ac:dyDescent="0.3">
      <c r="A56" s="28" t="s">
        <v>136</v>
      </c>
      <c r="B56" s="29">
        <v>11940000</v>
      </c>
    </row>
    <row r="57" spans="1:2" x14ac:dyDescent="0.3">
      <c r="A57" s="28" t="s">
        <v>94</v>
      </c>
      <c r="B57" s="29">
        <v>13000000</v>
      </c>
    </row>
    <row r="58" spans="1:2" x14ac:dyDescent="0.3">
      <c r="A58" s="28" t="s">
        <v>21</v>
      </c>
      <c r="B58" s="29">
        <v>3490000</v>
      </c>
    </row>
    <row r="59" spans="1:2" x14ac:dyDescent="0.3">
      <c r="A59" s="27" t="s">
        <v>153</v>
      </c>
      <c r="B59" s="29">
        <v>436225361.39919996</v>
      </c>
    </row>
    <row r="60" spans="1:2" x14ac:dyDescent="0.3">
      <c r="A60" s="28" t="s">
        <v>96</v>
      </c>
      <c r="B60" s="29">
        <v>7907305.0000000009</v>
      </c>
    </row>
    <row r="61" spans="1:2" x14ac:dyDescent="0.3">
      <c r="A61" s="28" t="s">
        <v>1373</v>
      </c>
      <c r="B61" s="29">
        <v>28041160</v>
      </c>
    </row>
    <row r="62" spans="1:2" x14ac:dyDescent="0.3">
      <c r="A62" s="28" t="s">
        <v>182</v>
      </c>
      <c r="B62" s="29">
        <v>3284400</v>
      </c>
    </row>
    <row r="63" spans="1:2" x14ac:dyDescent="0.3">
      <c r="A63" s="28" t="s">
        <v>232</v>
      </c>
      <c r="B63" s="29">
        <v>11878920</v>
      </c>
    </row>
    <row r="64" spans="1:2" x14ac:dyDescent="0.3">
      <c r="A64" s="28" t="s">
        <v>164</v>
      </c>
      <c r="B64" s="29">
        <v>5179997.41</v>
      </c>
    </row>
    <row r="65" spans="1:2" x14ac:dyDescent="0.3">
      <c r="A65" s="28" t="s">
        <v>1383</v>
      </c>
      <c r="B65" s="29">
        <v>2990000</v>
      </c>
    </row>
    <row r="66" spans="1:2" x14ac:dyDescent="0.3">
      <c r="A66" s="28" t="s">
        <v>34</v>
      </c>
      <c r="B66" s="29">
        <v>34536900</v>
      </c>
    </row>
    <row r="67" spans="1:2" x14ac:dyDescent="0.3">
      <c r="A67" s="28" t="s">
        <v>59</v>
      </c>
      <c r="B67" s="29">
        <v>57918300</v>
      </c>
    </row>
    <row r="68" spans="1:2" x14ac:dyDescent="0.3">
      <c r="A68" s="28" t="s">
        <v>36</v>
      </c>
      <c r="B68" s="29">
        <v>30499700</v>
      </c>
    </row>
    <row r="69" spans="1:2" x14ac:dyDescent="0.3">
      <c r="A69" s="28" t="s">
        <v>1274</v>
      </c>
      <c r="B69" s="29">
        <v>7102970.0000000009</v>
      </c>
    </row>
    <row r="70" spans="1:2" x14ac:dyDescent="0.3">
      <c r="A70" s="28" t="s">
        <v>25</v>
      </c>
      <c r="B70" s="29">
        <v>583100</v>
      </c>
    </row>
    <row r="71" spans="1:2" x14ac:dyDescent="0.3">
      <c r="A71" s="28" t="s">
        <v>202</v>
      </c>
      <c r="B71" s="29">
        <v>1142400</v>
      </c>
    </row>
    <row r="72" spans="1:2" x14ac:dyDescent="0.3">
      <c r="A72" s="28" t="s">
        <v>237</v>
      </c>
      <c r="B72" s="29">
        <v>4235200</v>
      </c>
    </row>
    <row r="73" spans="1:2" x14ac:dyDescent="0.3">
      <c r="A73" s="28" t="s">
        <v>95</v>
      </c>
      <c r="B73" s="29">
        <v>68794000</v>
      </c>
    </row>
    <row r="74" spans="1:2" x14ac:dyDescent="0.3">
      <c r="A74" s="28" t="s">
        <v>196</v>
      </c>
      <c r="B74" s="29">
        <v>7999998.3391999993</v>
      </c>
    </row>
    <row r="75" spans="1:2" x14ac:dyDescent="0.3">
      <c r="A75" s="28" t="s">
        <v>136</v>
      </c>
      <c r="B75" s="29">
        <v>17825000</v>
      </c>
    </row>
    <row r="76" spans="1:2" x14ac:dyDescent="0.3">
      <c r="A76" s="28" t="s">
        <v>94</v>
      </c>
      <c r="B76" s="29">
        <v>12816000</v>
      </c>
    </row>
    <row r="77" spans="1:2" x14ac:dyDescent="0.3">
      <c r="A77" s="28" t="s">
        <v>21</v>
      </c>
      <c r="B77" s="29">
        <v>24698331</v>
      </c>
    </row>
    <row r="78" spans="1:2" x14ac:dyDescent="0.3">
      <c r="A78" s="28" t="s">
        <v>1282</v>
      </c>
      <c r="B78" s="29">
        <v>51600000</v>
      </c>
    </row>
    <row r="79" spans="1:2" x14ac:dyDescent="0.3">
      <c r="A79" s="28" t="s">
        <v>162</v>
      </c>
      <c r="B79" s="29">
        <v>57191679.649999999</v>
      </c>
    </row>
    <row r="80" spans="1:2" x14ac:dyDescent="0.3">
      <c r="A80" s="27" t="s">
        <v>252</v>
      </c>
      <c r="B80" s="29">
        <v>1294392778.2062135</v>
      </c>
    </row>
    <row r="81" spans="1:2" x14ac:dyDescent="0.3">
      <c r="A81" s="28" t="s">
        <v>96</v>
      </c>
      <c r="B81" s="29">
        <v>60120000</v>
      </c>
    </row>
    <row r="82" spans="1:2" x14ac:dyDescent="0.3">
      <c r="A82" s="28" t="s">
        <v>315</v>
      </c>
      <c r="B82" s="29">
        <v>24990000</v>
      </c>
    </row>
    <row r="83" spans="1:2" x14ac:dyDescent="0.3">
      <c r="A83" s="28" t="s">
        <v>182</v>
      </c>
      <c r="B83" s="29">
        <v>2520000</v>
      </c>
    </row>
    <row r="84" spans="1:2" x14ac:dyDescent="0.3">
      <c r="A84" s="28" t="s">
        <v>232</v>
      </c>
      <c r="B84" s="29">
        <v>24651330</v>
      </c>
    </row>
    <row r="85" spans="1:2" x14ac:dyDescent="0.3">
      <c r="A85" s="28" t="s">
        <v>1383</v>
      </c>
      <c r="B85" s="29">
        <v>7711200</v>
      </c>
    </row>
    <row r="86" spans="1:2" x14ac:dyDescent="0.3">
      <c r="A86" s="28" t="s">
        <v>261</v>
      </c>
      <c r="B86" s="29">
        <v>1606500</v>
      </c>
    </row>
    <row r="87" spans="1:2" x14ac:dyDescent="0.3">
      <c r="A87" s="28" t="s">
        <v>34</v>
      </c>
      <c r="B87" s="29">
        <v>1785000</v>
      </c>
    </row>
    <row r="88" spans="1:2" x14ac:dyDescent="0.3">
      <c r="A88" s="28" t="s">
        <v>59</v>
      </c>
      <c r="B88" s="29">
        <v>166804813</v>
      </c>
    </row>
    <row r="89" spans="1:2" x14ac:dyDescent="0.3">
      <c r="A89" s="28" t="s">
        <v>36</v>
      </c>
      <c r="B89" s="29">
        <v>22254479.9762136</v>
      </c>
    </row>
    <row r="90" spans="1:2" x14ac:dyDescent="0.3">
      <c r="A90" s="28" t="s">
        <v>1274</v>
      </c>
      <c r="B90" s="29">
        <v>9282000</v>
      </c>
    </row>
    <row r="91" spans="1:2" x14ac:dyDescent="0.3">
      <c r="A91" s="28" t="s">
        <v>95</v>
      </c>
      <c r="B91" s="29">
        <v>327888536.23000002</v>
      </c>
    </row>
    <row r="92" spans="1:2" x14ac:dyDescent="0.3">
      <c r="A92" s="28" t="s">
        <v>196</v>
      </c>
      <c r="B92" s="29">
        <v>13387500</v>
      </c>
    </row>
    <row r="93" spans="1:2" x14ac:dyDescent="0.3">
      <c r="A93" s="28" t="s">
        <v>136</v>
      </c>
      <c r="B93" s="29">
        <v>17615000</v>
      </c>
    </row>
    <row r="94" spans="1:2" x14ac:dyDescent="0.3">
      <c r="A94" s="28" t="s">
        <v>94</v>
      </c>
      <c r="B94" s="29">
        <v>113826039</v>
      </c>
    </row>
    <row r="95" spans="1:2" x14ac:dyDescent="0.3">
      <c r="A95" s="28" t="s">
        <v>21</v>
      </c>
      <c r="B95" s="29">
        <v>4403000</v>
      </c>
    </row>
    <row r="96" spans="1:2" x14ac:dyDescent="0.3">
      <c r="A96" s="28" t="s">
        <v>1282</v>
      </c>
      <c r="B96" s="29">
        <v>310500000</v>
      </c>
    </row>
    <row r="97" spans="1:2" x14ac:dyDescent="0.3">
      <c r="A97" s="28" t="s">
        <v>162</v>
      </c>
      <c r="B97" s="29">
        <v>185047380</v>
      </c>
    </row>
    <row r="98" spans="1:2" x14ac:dyDescent="0.3">
      <c r="A98" s="27" t="s">
        <v>320</v>
      </c>
      <c r="B98" s="29">
        <v>236123888.48000002</v>
      </c>
    </row>
    <row r="99" spans="1:2" x14ac:dyDescent="0.3">
      <c r="A99" s="28" t="s">
        <v>96</v>
      </c>
      <c r="B99" s="29">
        <v>6749991.5999999996</v>
      </c>
    </row>
    <row r="100" spans="1:2" x14ac:dyDescent="0.3">
      <c r="A100" s="28" t="s">
        <v>182</v>
      </c>
      <c r="B100" s="29">
        <v>478380</v>
      </c>
    </row>
    <row r="101" spans="1:2" x14ac:dyDescent="0.3">
      <c r="A101" s="28" t="s">
        <v>1387</v>
      </c>
      <c r="B101" s="29">
        <v>1714314</v>
      </c>
    </row>
    <row r="102" spans="1:2" x14ac:dyDescent="0.3">
      <c r="A102" s="28" t="s">
        <v>383</v>
      </c>
      <c r="B102" s="29">
        <v>16249200</v>
      </c>
    </row>
    <row r="103" spans="1:2" x14ac:dyDescent="0.3">
      <c r="A103" s="28" t="s">
        <v>232</v>
      </c>
      <c r="B103" s="29">
        <v>6375925</v>
      </c>
    </row>
    <row r="104" spans="1:2" x14ac:dyDescent="0.3">
      <c r="A104" s="28" t="s">
        <v>1383</v>
      </c>
      <c r="B104" s="29">
        <v>2600007.2000000002</v>
      </c>
    </row>
    <row r="105" spans="1:2" x14ac:dyDescent="0.3">
      <c r="A105" s="28" t="s">
        <v>34</v>
      </c>
      <c r="B105" s="29">
        <v>27539637.68</v>
      </c>
    </row>
    <row r="106" spans="1:2" x14ac:dyDescent="0.3">
      <c r="A106" s="28" t="s">
        <v>23</v>
      </c>
      <c r="B106" s="29">
        <v>1260000</v>
      </c>
    </row>
    <row r="107" spans="1:2" x14ac:dyDescent="0.3">
      <c r="A107" s="28" t="s">
        <v>59</v>
      </c>
      <c r="B107" s="29">
        <v>23952000</v>
      </c>
    </row>
    <row r="108" spans="1:2" x14ac:dyDescent="0.3">
      <c r="A108" s="28" t="s">
        <v>36</v>
      </c>
      <c r="B108" s="29">
        <v>2751960</v>
      </c>
    </row>
    <row r="109" spans="1:2" x14ac:dyDescent="0.3">
      <c r="A109" s="28" t="s">
        <v>95</v>
      </c>
      <c r="B109" s="29">
        <v>97144750</v>
      </c>
    </row>
    <row r="110" spans="1:2" x14ac:dyDescent="0.3">
      <c r="A110" s="28" t="s">
        <v>136</v>
      </c>
      <c r="B110" s="29">
        <v>4730000</v>
      </c>
    </row>
    <row r="111" spans="1:2" x14ac:dyDescent="0.3">
      <c r="A111" s="28" t="s">
        <v>94</v>
      </c>
      <c r="B111" s="29">
        <v>16302000</v>
      </c>
    </row>
    <row r="112" spans="1:2" x14ac:dyDescent="0.3">
      <c r="A112" s="28" t="s">
        <v>21</v>
      </c>
      <c r="B112" s="29">
        <v>28275723</v>
      </c>
    </row>
    <row r="113" spans="1:2" x14ac:dyDescent="0.3">
      <c r="A113" s="27" t="s">
        <v>1322</v>
      </c>
      <c r="B113" s="29">
        <v>494455666</v>
      </c>
    </row>
    <row r="114" spans="1:2" x14ac:dyDescent="0.3">
      <c r="A114" s="28" t="s">
        <v>315</v>
      </c>
      <c r="B114" s="29">
        <v>17409500</v>
      </c>
    </row>
    <row r="115" spans="1:2" x14ac:dyDescent="0.3">
      <c r="A115" s="28" t="s">
        <v>383</v>
      </c>
      <c r="B115" s="29">
        <v>2598960</v>
      </c>
    </row>
    <row r="116" spans="1:2" x14ac:dyDescent="0.3">
      <c r="A116" s="28" t="s">
        <v>1383</v>
      </c>
      <c r="B116" s="29">
        <v>18082050</v>
      </c>
    </row>
    <row r="117" spans="1:2" x14ac:dyDescent="0.3">
      <c r="A117" s="28" t="s">
        <v>59</v>
      </c>
      <c r="B117" s="29">
        <v>34275400</v>
      </c>
    </row>
    <row r="118" spans="1:2" x14ac:dyDescent="0.3">
      <c r="A118" s="28" t="s">
        <v>1274</v>
      </c>
      <c r="B118" s="29">
        <v>9035670</v>
      </c>
    </row>
    <row r="119" spans="1:2" x14ac:dyDescent="0.3">
      <c r="A119" s="28" t="s">
        <v>425</v>
      </c>
      <c r="B119" s="29">
        <v>38556000</v>
      </c>
    </row>
    <row r="120" spans="1:2" x14ac:dyDescent="0.3">
      <c r="A120" s="28" t="s">
        <v>95</v>
      </c>
      <c r="B120" s="29">
        <v>239173000</v>
      </c>
    </row>
    <row r="121" spans="1:2" x14ac:dyDescent="0.3">
      <c r="A121" s="28" t="s">
        <v>196</v>
      </c>
      <c r="B121" s="29">
        <v>22580250</v>
      </c>
    </row>
    <row r="122" spans="1:2" x14ac:dyDescent="0.3">
      <c r="A122" s="28" t="s">
        <v>136</v>
      </c>
      <c r="B122" s="29">
        <v>25138800</v>
      </c>
    </row>
    <row r="123" spans="1:2" x14ac:dyDescent="0.3">
      <c r="A123" s="28" t="s">
        <v>1282</v>
      </c>
      <c r="B123" s="29">
        <v>87606036</v>
      </c>
    </row>
    <row r="124" spans="1:2" x14ac:dyDescent="0.3">
      <c r="A124" s="27" t="s">
        <v>387</v>
      </c>
      <c r="B124" s="29">
        <v>556226823.42289996</v>
      </c>
    </row>
    <row r="125" spans="1:2" x14ac:dyDescent="0.3">
      <c r="A125" s="28" t="s">
        <v>1387</v>
      </c>
      <c r="B125" s="29">
        <v>3500000</v>
      </c>
    </row>
    <row r="126" spans="1:2" x14ac:dyDescent="0.3">
      <c r="A126" s="28" t="s">
        <v>383</v>
      </c>
      <c r="B126" s="29">
        <v>3300000</v>
      </c>
    </row>
    <row r="127" spans="1:2" x14ac:dyDescent="0.3">
      <c r="A127" s="28" t="s">
        <v>232</v>
      </c>
      <c r="B127" s="29">
        <v>8300000</v>
      </c>
    </row>
    <row r="128" spans="1:2" x14ac:dyDescent="0.3">
      <c r="A128" s="28" t="s">
        <v>1383</v>
      </c>
      <c r="B128" s="29">
        <v>2073600</v>
      </c>
    </row>
    <row r="129" spans="1:2" x14ac:dyDescent="0.3">
      <c r="A129" s="28" t="s">
        <v>402</v>
      </c>
      <c r="B129" s="29">
        <v>400000</v>
      </c>
    </row>
    <row r="130" spans="1:2" x14ac:dyDescent="0.3">
      <c r="A130" s="28" t="s">
        <v>34</v>
      </c>
      <c r="B130" s="29">
        <v>195371000</v>
      </c>
    </row>
    <row r="131" spans="1:2" x14ac:dyDescent="0.3">
      <c r="A131" s="28" t="s">
        <v>59</v>
      </c>
      <c r="B131" s="29">
        <v>36655000</v>
      </c>
    </row>
    <row r="132" spans="1:2" x14ac:dyDescent="0.3">
      <c r="A132" s="28" t="s">
        <v>36</v>
      </c>
      <c r="B132" s="29">
        <v>32400000</v>
      </c>
    </row>
    <row r="133" spans="1:2" x14ac:dyDescent="0.3">
      <c r="A133" s="28" t="s">
        <v>1274</v>
      </c>
      <c r="B133" s="29">
        <v>43860000.062900007</v>
      </c>
    </row>
    <row r="134" spans="1:2" x14ac:dyDescent="0.3">
      <c r="A134" s="28" t="s">
        <v>95</v>
      </c>
      <c r="B134" s="29">
        <v>127600000</v>
      </c>
    </row>
    <row r="135" spans="1:2" x14ac:dyDescent="0.3">
      <c r="A135" s="28" t="s">
        <v>136</v>
      </c>
      <c r="B135" s="29">
        <v>5700000</v>
      </c>
    </row>
    <row r="136" spans="1:2" x14ac:dyDescent="0.3">
      <c r="A136" s="28" t="s">
        <v>94</v>
      </c>
      <c r="B136" s="29">
        <v>9567225</v>
      </c>
    </row>
    <row r="137" spans="1:2" x14ac:dyDescent="0.3">
      <c r="A137" s="28" t="s">
        <v>21</v>
      </c>
      <c r="B137" s="29">
        <v>3999999.3600000003</v>
      </c>
    </row>
    <row r="138" spans="1:2" x14ac:dyDescent="0.3">
      <c r="A138" s="28" t="s">
        <v>1282</v>
      </c>
      <c r="B138" s="29">
        <v>83499999</v>
      </c>
    </row>
    <row r="139" spans="1:2" x14ac:dyDescent="0.3">
      <c r="A139" s="27" t="s">
        <v>407</v>
      </c>
      <c r="B139" s="29">
        <v>290928265</v>
      </c>
    </row>
    <row r="140" spans="1:2" x14ac:dyDescent="0.3">
      <c r="A140" s="28" t="s">
        <v>96</v>
      </c>
      <c r="B140" s="29">
        <v>6100000</v>
      </c>
    </row>
    <row r="141" spans="1:2" x14ac:dyDescent="0.3">
      <c r="A141" s="28" t="s">
        <v>118</v>
      </c>
      <c r="B141" s="29">
        <v>16964640</v>
      </c>
    </row>
    <row r="142" spans="1:2" x14ac:dyDescent="0.3">
      <c r="A142" s="28" t="s">
        <v>1374</v>
      </c>
      <c r="B142" s="29">
        <v>71664857</v>
      </c>
    </row>
    <row r="143" spans="1:2" x14ac:dyDescent="0.3">
      <c r="A143" s="28" t="s">
        <v>383</v>
      </c>
      <c r="B143" s="29">
        <v>2310208</v>
      </c>
    </row>
    <row r="144" spans="1:2" x14ac:dyDescent="0.3">
      <c r="A144" s="28" t="s">
        <v>232</v>
      </c>
      <c r="B144" s="29">
        <v>10400000</v>
      </c>
    </row>
    <row r="145" spans="1:2" x14ac:dyDescent="0.3">
      <c r="A145" s="28" t="s">
        <v>1383</v>
      </c>
      <c r="B145" s="29">
        <v>13447500</v>
      </c>
    </row>
    <row r="146" spans="1:2" x14ac:dyDescent="0.3">
      <c r="A146" s="28" t="s">
        <v>34</v>
      </c>
      <c r="B146" s="29">
        <v>8975000</v>
      </c>
    </row>
    <row r="147" spans="1:2" x14ac:dyDescent="0.3">
      <c r="A147" s="28" t="s">
        <v>23</v>
      </c>
      <c r="B147" s="29">
        <v>3498600</v>
      </c>
    </row>
    <row r="148" spans="1:2" x14ac:dyDescent="0.3">
      <c r="A148" s="28" t="s">
        <v>444</v>
      </c>
      <c r="B148" s="29">
        <v>1620000</v>
      </c>
    </row>
    <row r="149" spans="1:2" x14ac:dyDescent="0.3">
      <c r="A149" s="28" t="s">
        <v>36</v>
      </c>
      <c r="B149" s="29">
        <v>7000600</v>
      </c>
    </row>
    <row r="150" spans="1:2" x14ac:dyDescent="0.3">
      <c r="A150" s="28" t="s">
        <v>1274</v>
      </c>
      <c r="B150" s="29">
        <v>17372810</v>
      </c>
    </row>
    <row r="151" spans="1:2" x14ac:dyDescent="0.3">
      <c r="A151" s="28" t="s">
        <v>425</v>
      </c>
      <c r="B151" s="29">
        <v>22848000</v>
      </c>
    </row>
    <row r="152" spans="1:2" x14ac:dyDescent="0.3">
      <c r="A152" s="28" t="s">
        <v>95</v>
      </c>
      <c r="B152" s="29">
        <v>14341510</v>
      </c>
    </row>
    <row r="153" spans="1:2" x14ac:dyDescent="0.3">
      <c r="A153" s="28" t="s">
        <v>136</v>
      </c>
      <c r="B153" s="29">
        <v>780000</v>
      </c>
    </row>
    <row r="154" spans="1:2" x14ac:dyDescent="0.3">
      <c r="A154" s="28" t="s">
        <v>94</v>
      </c>
      <c r="B154" s="29">
        <v>15410500</v>
      </c>
    </row>
    <row r="155" spans="1:2" x14ac:dyDescent="0.3">
      <c r="A155" s="28" t="s">
        <v>21</v>
      </c>
      <c r="B155" s="29">
        <v>7854000</v>
      </c>
    </row>
    <row r="156" spans="1:2" x14ac:dyDescent="0.3">
      <c r="A156" s="28" t="s">
        <v>1282</v>
      </c>
      <c r="B156" s="29">
        <v>66537990</v>
      </c>
    </row>
    <row r="157" spans="1:2" x14ac:dyDescent="0.3">
      <c r="A157" s="28" t="s">
        <v>1280</v>
      </c>
      <c r="B157" s="29">
        <v>3802050</v>
      </c>
    </row>
    <row r="158" spans="1:2" x14ac:dyDescent="0.3">
      <c r="A158" s="27" t="s">
        <v>490</v>
      </c>
      <c r="B158" s="29">
        <v>579735879.51999998</v>
      </c>
    </row>
    <row r="159" spans="1:2" x14ac:dyDescent="0.3">
      <c r="A159" s="28" t="s">
        <v>1387</v>
      </c>
      <c r="B159" s="29">
        <v>2019192</v>
      </c>
    </row>
    <row r="160" spans="1:2" x14ac:dyDescent="0.3">
      <c r="A160" s="28" t="s">
        <v>383</v>
      </c>
      <c r="B160" s="29">
        <v>12980000</v>
      </c>
    </row>
    <row r="161" spans="1:2" x14ac:dyDescent="0.3">
      <c r="A161" s="28" t="s">
        <v>232</v>
      </c>
      <c r="B161" s="29">
        <v>36000000</v>
      </c>
    </row>
    <row r="162" spans="1:2" x14ac:dyDescent="0.3">
      <c r="A162" s="28" t="s">
        <v>1383</v>
      </c>
      <c r="B162" s="29">
        <v>13350000</v>
      </c>
    </row>
    <row r="163" spans="1:2" x14ac:dyDescent="0.3">
      <c r="A163" s="28" t="s">
        <v>34</v>
      </c>
      <c r="B163" s="29">
        <v>43034900</v>
      </c>
    </row>
    <row r="164" spans="1:2" x14ac:dyDescent="0.3">
      <c r="A164" s="28" t="s">
        <v>23</v>
      </c>
      <c r="B164" s="29">
        <v>22716488</v>
      </c>
    </row>
    <row r="165" spans="1:2" x14ac:dyDescent="0.3">
      <c r="A165" s="28" t="s">
        <v>523</v>
      </c>
      <c r="B165" s="29">
        <v>3102330</v>
      </c>
    </row>
    <row r="166" spans="1:2" x14ac:dyDescent="0.3">
      <c r="A166" s="28" t="s">
        <v>202</v>
      </c>
      <c r="B166" s="29">
        <v>864796.8</v>
      </c>
    </row>
    <row r="167" spans="1:2" x14ac:dyDescent="0.3">
      <c r="A167" s="28" t="s">
        <v>237</v>
      </c>
      <c r="B167" s="29">
        <v>21517270.599999998</v>
      </c>
    </row>
    <row r="168" spans="1:2" x14ac:dyDescent="0.3">
      <c r="A168" s="28" t="s">
        <v>95</v>
      </c>
      <c r="B168" s="29">
        <v>206166000</v>
      </c>
    </row>
    <row r="169" spans="1:2" x14ac:dyDescent="0.3">
      <c r="A169" s="28" t="s">
        <v>136</v>
      </c>
      <c r="B169" s="29">
        <v>15000000</v>
      </c>
    </row>
    <row r="170" spans="1:2" x14ac:dyDescent="0.3">
      <c r="A170" s="28" t="s">
        <v>94</v>
      </c>
      <c r="B170" s="29">
        <v>202984902.11999997</v>
      </c>
    </row>
    <row r="171" spans="1:2" x14ac:dyDescent="0.3">
      <c r="A171" s="27" t="s">
        <v>544</v>
      </c>
      <c r="B171" s="29">
        <v>581529539.61302006</v>
      </c>
    </row>
    <row r="172" spans="1:2" x14ac:dyDescent="0.3">
      <c r="A172" s="28" t="s">
        <v>1402</v>
      </c>
      <c r="B172" s="29">
        <v>30414385</v>
      </c>
    </row>
    <row r="173" spans="1:2" x14ac:dyDescent="0.3">
      <c r="A173" s="28" t="s">
        <v>96</v>
      </c>
      <c r="B173" s="29">
        <v>9999998.4000000004</v>
      </c>
    </row>
    <row r="174" spans="1:2" x14ac:dyDescent="0.3">
      <c r="A174" s="28" t="s">
        <v>1375</v>
      </c>
      <c r="B174" s="29">
        <v>26700000</v>
      </c>
    </row>
    <row r="175" spans="1:2" x14ac:dyDescent="0.3">
      <c r="A175" s="28" t="s">
        <v>1380</v>
      </c>
      <c r="B175" s="29">
        <v>90689.29310000001</v>
      </c>
    </row>
    <row r="176" spans="1:2" x14ac:dyDescent="0.3">
      <c r="A176" s="28" t="s">
        <v>1387</v>
      </c>
      <c r="B176" s="29">
        <v>339499.97899999999</v>
      </c>
    </row>
    <row r="177" spans="1:2" x14ac:dyDescent="0.3">
      <c r="A177" s="28" t="s">
        <v>1398</v>
      </c>
      <c r="B177" s="29">
        <v>301161.53480000002</v>
      </c>
    </row>
    <row r="178" spans="1:2" x14ac:dyDescent="0.3">
      <c r="A178" s="28" t="s">
        <v>164</v>
      </c>
      <c r="B178" s="29">
        <v>33600000.335999995</v>
      </c>
    </row>
    <row r="179" spans="1:2" x14ac:dyDescent="0.3">
      <c r="A179" s="28" t="s">
        <v>1383</v>
      </c>
      <c r="B179" s="29">
        <v>3519999.9604000002</v>
      </c>
    </row>
    <row r="180" spans="1:2" x14ac:dyDescent="0.3">
      <c r="A180" s="28" t="s">
        <v>1285</v>
      </c>
      <c r="B180" s="29">
        <v>17850000</v>
      </c>
    </row>
    <row r="181" spans="1:2" x14ac:dyDescent="0.3">
      <c r="A181" s="28" t="s">
        <v>261</v>
      </c>
      <c r="B181" s="29">
        <v>3000000</v>
      </c>
    </row>
    <row r="182" spans="1:2" x14ac:dyDescent="0.3">
      <c r="A182" s="28" t="s">
        <v>34</v>
      </c>
      <c r="B182" s="29">
        <v>38729997.568800002</v>
      </c>
    </row>
    <row r="183" spans="1:2" x14ac:dyDescent="0.3">
      <c r="A183" s="28" t="s">
        <v>59</v>
      </c>
      <c r="B183" s="29">
        <v>33435992.009920001</v>
      </c>
    </row>
    <row r="184" spans="1:2" x14ac:dyDescent="0.3">
      <c r="A184" s="28" t="s">
        <v>36</v>
      </c>
      <c r="B184" s="29">
        <v>4583523</v>
      </c>
    </row>
    <row r="185" spans="1:2" x14ac:dyDescent="0.3">
      <c r="A185" s="28" t="s">
        <v>1274</v>
      </c>
      <c r="B185" s="29">
        <v>3927000</v>
      </c>
    </row>
    <row r="186" spans="1:2" x14ac:dyDescent="0.3">
      <c r="A186" s="28" t="s">
        <v>1395</v>
      </c>
      <c r="B186" s="29">
        <v>1651396.32</v>
      </c>
    </row>
    <row r="187" spans="1:2" x14ac:dyDescent="0.3">
      <c r="A187" s="28" t="s">
        <v>98</v>
      </c>
      <c r="B187" s="29">
        <v>1834147</v>
      </c>
    </row>
    <row r="188" spans="1:2" x14ac:dyDescent="0.3">
      <c r="A188" s="28" t="s">
        <v>425</v>
      </c>
      <c r="B188" s="29">
        <v>75000000</v>
      </c>
    </row>
    <row r="189" spans="1:2" x14ac:dyDescent="0.3">
      <c r="A189" s="28" t="s">
        <v>95</v>
      </c>
      <c r="B189" s="29">
        <v>90265499.747999996</v>
      </c>
    </row>
    <row r="190" spans="1:2" x14ac:dyDescent="0.3">
      <c r="A190" s="28" t="s">
        <v>136</v>
      </c>
      <c r="B190" s="29">
        <v>11550000</v>
      </c>
    </row>
    <row r="191" spans="1:2" x14ac:dyDescent="0.3">
      <c r="A191" s="28" t="s">
        <v>94</v>
      </c>
      <c r="B191" s="29">
        <v>7278858.7200000007</v>
      </c>
    </row>
    <row r="192" spans="1:2" x14ac:dyDescent="0.3">
      <c r="A192" s="28" t="s">
        <v>21</v>
      </c>
      <c r="B192" s="29">
        <v>16302050.023</v>
      </c>
    </row>
    <row r="193" spans="1:2" x14ac:dyDescent="0.3">
      <c r="A193" s="28" t="s">
        <v>1282</v>
      </c>
      <c r="B193" s="29">
        <v>139955340</v>
      </c>
    </row>
    <row r="194" spans="1:2" x14ac:dyDescent="0.3">
      <c r="A194" s="28" t="s">
        <v>162</v>
      </c>
      <c r="B194" s="29">
        <v>31200000.719999999</v>
      </c>
    </row>
    <row r="195" spans="1:2" x14ac:dyDescent="0.3">
      <c r="A195" s="27" t="s">
        <v>623</v>
      </c>
      <c r="B195" s="29">
        <v>629958044.9982816</v>
      </c>
    </row>
    <row r="196" spans="1:2" x14ac:dyDescent="0.3">
      <c r="A196" s="28" t="s">
        <v>96</v>
      </c>
      <c r="B196" s="29">
        <v>15767929.999359999</v>
      </c>
    </row>
    <row r="197" spans="1:2" x14ac:dyDescent="0.3">
      <c r="A197" s="28" t="s">
        <v>315</v>
      </c>
      <c r="B197" s="29">
        <v>21050000</v>
      </c>
    </row>
    <row r="198" spans="1:2" x14ac:dyDescent="0.3">
      <c r="A198" s="28" t="s">
        <v>232</v>
      </c>
      <c r="B198" s="29">
        <v>3253250</v>
      </c>
    </row>
    <row r="199" spans="1:2" x14ac:dyDescent="0.3">
      <c r="A199" s="28" t="s">
        <v>1398</v>
      </c>
      <c r="B199" s="29">
        <v>38434600</v>
      </c>
    </row>
    <row r="200" spans="1:2" x14ac:dyDescent="0.3">
      <c r="A200" s="28" t="s">
        <v>1383</v>
      </c>
      <c r="B200" s="29">
        <v>13586639.998921601</v>
      </c>
    </row>
    <row r="201" spans="1:2" x14ac:dyDescent="0.3">
      <c r="A201" s="28" t="s">
        <v>261</v>
      </c>
      <c r="B201" s="29">
        <v>4200000</v>
      </c>
    </row>
    <row r="202" spans="1:2" x14ac:dyDescent="0.3">
      <c r="A202" s="28" t="s">
        <v>34</v>
      </c>
      <c r="B202" s="29">
        <v>69222936</v>
      </c>
    </row>
    <row r="203" spans="1:2" x14ac:dyDescent="0.3">
      <c r="A203" s="28" t="s">
        <v>59</v>
      </c>
      <c r="B203" s="29">
        <v>105600138</v>
      </c>
    </row>
    <row r="204" spans="1:2" x14ac:dyDescent="0.3">
      <c r="A204" s="28" t="s">
        <v>36</v>
      </c>
      <c r="B204" s="29">
        <v>16798376</v>
      </c>
    </row>
    <row r="205" spans="1:2" x14ac:dyDescent="0.3">
      <c r="A205" s="28" t="s">
        <v>1274</v>
      </c>
      <c r="B205" s="29">
        <v>27976900</v>
      </c>
    </row>
    <row r="206" spans="1:2" x14ac:dyDescent="0.3">
      <c r="A206" s="28" t="s">
        <v>95</v>
      </c>
      <c r="B206" s="29">
        <v>150538000</v>
      </c>
    </row>
    <row r="207" spans="1:2" x14ac:dyDescent="0.3">
      <c r="A207" s="28" t="s">
        <v>196</v>
      </c>
      <c r="B207" s="29">
        <v>11400000</v>
      </c>
    </row>
    <row r="208" spans="1:2" x14ac:dyDescent="0.3">
      <c r="A208" s="28" t="s">
        <v>136</v>
      </c>
      <c r="B208" s="29">
        <v>27730000</v>
      </c>
    </row>
    <row r="209" spans="1:2" x14ac:dyDescent="0.3">
      <c r="A209" s="28" t="s">
        <v>94</v>
      </c>
      <c r="B209" s="29">
        <v>30650375</v>
      </c>
    </row>
    <row r="210" spans="1:2" x14ac:dyDescent="0.3">
      <c r="A210" s="28" t="s">
        <v>21</v>
      </c>
      <c r="B210" s="29">
        <v>8000132.0000000009</v>
      </c>
    </row>
    <row r="211" spans="1:2" x14ac:dyDescent="0.3">
      <c r="A211" s="28" t="s">
        <v>1282</v>
      </c>
      <c r="B211" s="29">
        <v>85748768</v>
      </c>
    </row>
    <row r="212" spans="1:2" x14ac:dyDescent="0.3">
      <c r="A212" s="27" t="s">
        <v>693</v>
      </c>
      <c r="B212" s="29">
        <v>280805599.99956161</v>
      </c>
    </row>
    <row r="213" spans="1:2" x14ac:dyDescent="0.3">
      <c r="A213" s="28" t="s">
        <v>96</v>
      </c>
      <c r="B213" s="29">
        <v>7743899.9999996005</v>
      </c>
    </row>
    <row r="214" spans="1:2" x14ac:dyDescent="0.3">
      <c r="A214" s="28" t="s">
        <v>643</v>
      </c>
      <c r="B214" s="29">
        <v>8358000</v>
      </c>
    </row>
    <row r="215" spans="1:2" x14ac:dyDescent="0.3">
      <c r="A215" s="28" t="s">
        <v>232</v>
      </c>
      <c r="B215" s="29">
        <v>23253100</v>
      </c>
    </row>
    <row r="216" spans="1:2" x14ac:dyDescent="0.3">
      <c r="A216" s="28" t="s">
        <v>1383</v>
      </c>
      <c r="B216" s="29">
        <v>7410000</v>
      </c>
    </row>
    <row r="217" spans="1:2" x14ac:dyDescent="0.3">
      <c r="A217" s="28" t="s">
        <v>34</v>
      </c>
      <c r="B217" s="29">
        <v>24963399.999802001</v>
      </c>
    </row>
    <row r="218" spans="1:2" x14ac:dyDescent="0.3">
      <c r="A218" s="28" t="s">
        <v>59</v>
      </c>
      <c r="B218" s="29">
        <v>75430000</v>
      </c>
    </row>
    <row r="219" spans="1:2" x14ac:dyDescent="0.3">
      <c r="A219" s="28" t="s">
        <v>36</v>
      </c>
      <c r="B219" s="29">
        <v>4604999.99976</v>
      </c>
    </row>
    <row r="220" spans="1:2" x14ac:dyDescent="0.3">
      <c r="A220" s="28" t="s">
        <v>25</v>
      </c>
      <c r="B220" s="29">
        <v>2832200</v>
      </c>
    </row>
    <row r="221" spans="1:2" x14ac:dyDescent="0.3">
      <c r="A221" s="28" t="s">
        <v>95</v>
      </c>
      <c r="B221" s="29">
        <v>104839000</v>
      </c>
    </row>
    <row r="222" spans="1:2" x14ac:dyDescent="0.3">
      <c r="A222" s="28" t="s">
        <v>196</v>
      </c>
      <c r="B222" s="29">
        <v>7980000</v>
      </c>
    </row>
    <row r="223" spans="1:2" x14ac:dyDescent="0.3">
      <c r="A223" s="28" t="s">
        <v>136</v>
      </c>
      <c r="B223" s="29">
        <v>5625000</v>
      </c>
    </row>
    <row r="224" spans="1:2" x14ac:dyDescent="0.3">
      <c r="A224" s="28" t="s">
        <v>94</v>
      </c>
      <c r="B224" s="29">
        <v>7766000</v>
      </c>
    </row>
    <row r="225" spans="1:2" x14ac:dyDescent="0.3">
      <c r="A225" s="27" t="s">
        <v>728</v>
      </c>
      <c r="B225" s="29">
        <v>474778562.90100002</v>
      </c>
    </row>
    <row r="226" spans="1:2" x14ac:dyDescent="0.3">
      <c r="A226" s="28" t="s">
        <v>1402</v>
      </c>
      <c r="B226" s="29">
        <v>870000</v>
      </c>
    </row>
    <row r="227" spans="1:2" x14ac:dyDescent="0.3">
      <c r="A227" s="28" t="s">
        <v>96</v>
      </c>
      <c r="B227" s="29">
        <v>15130653</v>
      </c>
    </row>
    <row r="228" spans="1:2" x14ac:dyDescent="0.3">
      <c r="A228" s="28" t="s">
        <v>383</v>
      </c>
      <c r="B228" s="29">
        <v>13923759</v>
      </c>
    </row>
    <row r="229" spans="1:2" x14ac:dyDescent="0.3">
      <c r="A229" s="28" t="s">
        <v>232</v>
      </c>
      <c r="B229" s="29">
        <v>16884432</v>
      </c>
    </row>
    <row r="230" spans="1:2" x14ac:dyDescent="0.3">
      <c r="A230" s="28" t="s">
        <v>1383</v>
      </c>
      <c r="B230" s="29">
        <v>68971938</v>
      </c>
    </row>
    <row r="231" spans="1:2" x14ac:dyDescent="0.3">
      <c r="A231" s="28" t="s">
        <v>1285</v>
      </c>
      <c r="B231" s="29">
        <v>55104479.001000002</v>
      </c>
    </row>
    <row r="232" spans="1:2" x14ac:dyDescent="0.3">
      <c r="A232" s="28" t="s">
        <v>34</v>
      </c>
      <c r="B232" s="29">
        <v>34268532</v>
      </c>
    </row>
    <row r="233" spans="1:2" x14ac:dyDescent="0.3">
      <c r="A233" s="28" t="s">
        <v>23</v>
      </c>
      <c r="B233" s="29">
        <v>5960700</v>
      </c>
    </row>
    <row r="234" spans="1:2" x14ac:dyDescent="0.3">
      <c r="A234" s="28" t="s">
        <v>59</v>
      </c>
      <c r="B234" s="29">
        <v>1055276.3999999999</v>
      </c>
    </row>
    <row r="235" spans="1:2" x14ac:dyDescent="0.3">
      <c r="A235" s="28" t="s">
        <v>1286</v>
      </c>
      <c r="B235" s="29">
        <v>16280000</v>
      </c>
    </row>
    <row r="236" spans="1:2" x14ac:dyDescent="0.3">
      <c r="A236" s="28" t="s">
        <v>36</v>
      </c>
      <c r="B236" s="29">
        <v>21205045.500000004</v>
      </c>
    </row>
    <row r="237" spans="1:2" x14ac:dyDescent="0.3">
      <c r="A237" s="28" t="s">
        <v>1274</v>
      </c>
      <c r="B237" s="29">
        <v>32534320</v>
      </c>
    </row>
    <row r="238" spans="1:2" x14ac:dyDescent="0.3">
      <c r="A238" s="28" t="s">
        <v>25</v>
      </c>
      <c r="B238" s="29">
        <v>797192</v>
      </c>
    </row>
    <row r="239" spans="1:2" x14ac:dyDescent="0.3">
      <c r="A239" s="28" t="s">
        <v>425</v>
      </c>
      <c r="B239" s="29">
        <v>44287000</v>
      </c>
    </row>
    <row r="240" spans="1:2" x14ac:dyDescent="0.3">
      <c r="A240" s="28" t="s">
        <v>95</v>
      </c>
      <c r="B240" s="29">
        <v>31675480</v>
      </c>
    </row>
    <row r="241" spans="1:2" x14ac:dyDescent="0.3">
      <c r="A241" s="28" t="s">
        <v>136</v>
      </c>
      <c r="B241" s="29">
        <v>15297306</v>
      </c>
    </row>
    <row r="242" spans="1:2" x14ac:dyDescent="0.3">
      <c r="A242" s="28" t="s">
        <v>94</v>
      </c>
      <c r="B242" s="29">
        <v>28689000</v>
      </c>
    </row>
    <row r="243" spans="1:2" x14ac:dyDescent="0.3">
      <c r="A243" s="28" t="s">
        <v>21</v>
      </c>
      <c r="B243" s="29">
        <v>29343450</v>
      </c>
    </row>
    <row r="244" spans="1:2" x14ac:dyDescent="0.3">
      <c r="A244" s="28" t="s">
        <v>1282</v>
      </c>
      <c r="B244" s="29">
        <v>42500000</v>
      </c>
    </row>
    <row r="245" spans="1:2" x14ac:dyDescent="0.3">
      <c r="A245" s="27" t="s">
        <v>1231</v>
      </c>
      <c r="B245" s="29">
        <v>134362498.8899616</v>
      </c>
    </row>
    <row r="246" spans="1:2" x14ac:dyDescent="0.3">
      <c r="A246" s="28" t="s">
        <v>164</v>
      </c>
      <c r="B246" s="29">
        <v>14805000</v>
      </c>
    </row>
    <row r="247" spans="1:2" x14ac:dyDescent="0.3">
      <c r="A247" s="28" t="s">
        <v>1383</v>
      </c>
      <c r="B247" s="29">
        <v>12143748.890000001</v>
      </c>
    </row>
    <row r="248" spans="1:2" x14ac:dyDescent="0.3">
      <c r="A248" s="28" t="s">
        <v>34</v>
      </c>
      <c r="B248" s="29">
        <v>11999999.999961602</v>
      </c>
    </row>
    <row r="249" spans="1:2" x14ac:dyDescent="0.3">
      <c r="A249" s="28" t="s">
        <v>59</v>
      </c>
      <c r="B249" s="29">
        <v>5250000</v>
      </c>
    </row>
    <row r="250" spans="1:2" x14ac:dyDescent="0.3">
      <c r="A250" s="28" t="s">
        <v>1389</v>
      </c>
      <c r="B250" s="29">
        <v>1338750</v>
      </c>
    </row>
    <row r="251" spans="1:2" x14ac:dyDescent="0.3">
      <c r="A251" s="28" t="s">
        <v>36</v>
      </c>
      <c r="B251" s="29">
        <v>8000000</v>
      </c>
    </row>
    <row r="252" spans="1:2" x14ac:dyDescent="0.3">
      <c r="A252" s="28" t="s">
        <v>95</v>
      </c>
      <c r="B252" s="29">
        <v>27600000</v>
      </c>
    </row>
    <row r="253" spans="1:2" x14ac:dyDescent="0.3">
      <c r="A253" s="28" t="s">
        <v>94</v>
      </c>
      <c r="B253" s="29">
        <v>10400000</v>
      </c>
    </row>
    <row r="254" spans="1:2" x14ac:dyDescent="0.3">
      <c r="A254" s="28" t="s">
        <v>21</v>
      </c>
      <c r="B254" s="29">
        <v>2499000</v>
      </c>
    </row>
    <row r="255" spans="1:2" x14ac:dyDescent="0.3">
      <c r="A255" s="28" t="s">
        <v>162</v>
      </c>
      <c r="B255" s="29">
        <v>40326000</v>
      </c>
    </row>
    <row r="256" spans="1:2" x14ac:dyDescent="0.3">
      <c r="A256" s="27" t="s">
        <v>885</v>
      </c>
      <c r="B256" s="29">
        <v>328625215.24000001</v>
      </c>
    </row>
    <row r="257" spans="1:2" x14ac:dyDescent="0.3">
      <c r="A257" s="28" t="s">
        <v>1402</v>
      </c>
      <c r="B257" s="29">
        <v>4086300</v>
      </c>
    </row>
    <row r="258" spans="1:2" x14ac:dyDescent="0.3">
      <c r="A258" s="28" t="s">
        <v>1375</v>
      </c>
      <c r="B258" s="29">
        <v>38826000</v>
      </c>
    </row>
    <row r="259" spans="1:2" x14ac:dyDescent="0.3">
      <c r="A259" s="28" t="s">
        <v>643</v>
      </c>
      <c r="B259" s="29">
        <v>3760000</v>
      </c>
    </row>
    <row r="260" spans="1:2" x14ac:dyDescent="0.3">
      <c r="A260" s="28" t="s">
        <v>232</v>
      </c>
      <c r="B260" s="29">
        <v>1100000</v>
      </c>
    </row>
    <row r="261" spans="1:2" x14ac:dyDescent="0.3">
      <c r="A261" s="28" t="s">
        <v>164</v>
      </c>
      <c r="B261" s="29">
        <v>17612000</v>
      </c>
    </row>
    <row r="262" spans="1:2" x14ac:dyDescent="0.3">
      <c r="A262" s="28" t="s">
        <v>1383</v>
      </c>
      <c r="B262" s="29">
        <v>10624550</v>
      </c>
    </row>
    <row r="263" spans="1:2" x14ac:dyDescent="0.3">
      <c r="A263" s="28" t="s">
        <v>1285</v>
      </c>
      <c r="B263" s="29">
        <v>32130000</v>
      </c>
    </row>
    <row r="264" spans="1:2" x14ac:dyDescent="0.3">
      <c r="A264" s="28" t="s">
        <v>261</v>
      </c>
      <c r="B264" s="29">
        <v>1249976</v>
      </c>
    </row>
    <row r="265" spans="1:2" x14ac:dyDescent="0.3">
      <c r="A265" s="28" t="s">
        <v>34</v>
      </c>
      <c r="B265" s="29">
        <v>15144108</v>
      </c>
    </row>
    <row r="266" spans="1:2" x14ac:dyDescent="0.3">
      <c r="A266" s="28" t="s">
        <v>23</v>
      </c>
      <c r="B266" s="29">
        <v>2521055.2400000002</v>
      </c>
    </row>
    <row r="267" spans="1:2" x14ac:dyDescent="0.3">
      <c r="A267" s="28" t="s">
        <v>59</v>
      </c>
      <c r="B267" s="29">
        <v>11737649.999999994</v>
      </c>
    </row>
    <row r="268" spans="1:2" x14ac:dyDescent="0.3">
      <c r="A268" s="28" t="s">
        <v>36</v>
      </c>
      <c r="B268" s="29">
        <v>5030999.9999999972</v>
      </c>
    </row>
    <row r="269" spans="1:2" x14ac:dyDescent="0.3">
      <c r="A269" s="28" t="s">
        <v>1274</v>
      </c>
      <c r="B269" s="29">
        <v>10055200</v>
      </c>
    </row>
    <row r="270" spans="1:2" x14ac:dyDescent="0.3">
      <c r="A270" s="28" t="s">
        <v>25</v>
      </c>
      <c r="B270" s="29">
        <v>8195650</v>
      </c>
    </row>
    <row r="271" spans="1:2" x14ac:dyDescent="0.3">
      <c r="A271" s="28" t="s">
        <v>237</v>
      </c>
      <c r="B271" s="29">
        <v>1515800</v>
      </c>
    </row>
    <row r="272" spans="1:2" x14ac:dyDescent="0.3">
      <c r="A272" s="28" t="s">
        <v>95</v>
      </c>
      <c r="B272" s="29">
        <v>67903902</v>
      </c>
    </row>
    <row r="273" spans="1:2" x14ac:dyDescent="0.3">
      <c r="A273" s="28" t="s">
        <v>196</v>
      </c>
      <c r="B273" s="29">
        <v>3240000</v>
      </c>
    </row>
    <row r="274" spans="1:2" x14ac:dyDescent="0.3">
      <c r="A274" s="28" t="s">
        <v>136</v>
      </c>
      <c r="B274" s="29">
        <v>11500000</v>
      </c>
    </row>
    <row r="275" spans="1:2" x14ac:dyDescent="0.3">
      <c r="A275" s="28" t="s">
        <v>94</v>
      </c>
      <c r="B275" s="29">
        <v>19842030</v>
      </c>
    </row>
    <row r="276" spans="1:2" x14ac:dyDescent="0.3">
      <c r="A276" s="28" t="s">
        <v>21</v>
      </c>
      <c r="B276" s="29">
        <v>1799993.9999999998</v>
      </c>
    </row>
    <row r="277" spans="1:2" x14ac:dyDescent="0.3">
      <c r="A277" s="28" t="s">
        <v>1282</v>
      </c>
      <c r="B277" s="29">
        <v>32430000</v>
      </c>
    </row>
    <row r="278" spans="1:2" x14ac:dyDescent="0.3">
      <c r="A278" s="28" t="s">
        <v>162</v>
      </c>
      <c r="B278" s="29">
        <v>28320000</v>
      </c>
    </row>
    <row r="279" spans="1:2" x14ac:dyDescent="0.3">
      <c r="A279" s="27" t="s">
        <v>959</v>
      </c>
      <c r="B279" s="29">
        <v>67434269</v>
      </c>
    </row>
    <row r="280" spans="1:2" x14ac:dyDescent="0.3">
      <c r="A280" s="28" t="s">
        <v>96</v>
      </c>
      <c r="B280" s="29">
        <v>3714000</v>
      </c>
    </row>
    <row r="281" spans="1:2" x14ac:dyDescent="0.3">
      <c r="A281" s="28" t="s">
        <v>1380</v>
      </c>
      <c r="B281" s="29">
        <v>8247083</v>
      </c>
    </row>
    <row r="282" spans="1:2" x14ac:dyDescent="0.3">
      <c r="A282" s="28" t="s">
        <v>232</v>
      </c>
      <c r="B282" s="29">
        <v>10500000</v>
      </c>
    </row>
    <row r="283" spans="1:2" x14ac:dyDescent="0.3">
      <c r="A283" s="28" t="s">
        <v>1398</v>
      </c>
      <c r="B283" s="29">
        <v>1694000</v>
      </c>
    </row>
    <row r="284" spans="1:2" x14ac:dyDescent="0.3">
      <c r="A284" s="28" t="s">
        <v>34</v>
      </c>
      <c r="B284" s="29">
        <v>4450800</v>
      </c>
    </row>
    <row r="285" spans="1:2" x14ac:dyDescent="0.3">
      <c r="A285" s="28" t="s">
        <v>59</v>
      </c>
      <c r="B285" s="29">
        <v>12395600</v>
      </c>
    </row>
    <row r="286" spans="1:2" x14ac:dyDescent="0.3">
      <c r="A286" s="28" t="s">
        <v>36</v>
      </c>
      <c r="B286" s="29">
        <v>1396800</v>
      </c>
    </row>
    <row r="287" spans="1:2" x14ac:dyDescent="0.3">
      <c r="A287" s="28" t="s">
        <v>25</v>
      </c>
      <c r="B287" s="29">
        <v>1575000</v>
      </c>
    </row>
    <row r="288" spans="1:2" x14ac:dyDescent="0.3">
      <c r="A288" s="28" t="s">
        <v>95</v>
      </c>
      <c r="B288" s="29">
        <v>11044316</v>
      </c>
    </row>
    <row r="289" spans="1:2" x14ac:dyDescent="0.3">
      <c r="A289" s="28" t="s">
        <v>136</v>
      </c>
      <c r="B289" s="29">
        <v>6705870</v>
      </c>
    </row>
    <row r="290" spans="1:2" x14ac:dyDescent="0.3">
      <c r="A290" s="28" t="s">
        <v>94</v>
      </c>
      <c r="B290" s="29">
        <v>3010800</v>
      </c>
    </row>
    <row r="291" spans="1:2" x14ac:dyDescent="0.3">
      <c r="A291" s="28" t="s">
        <v>21</v>
      </c>
      <c r="B291" s="29">
        <v>2700000</v>
      </c>
    </row>
    <row r="292" spans="1:2" x14ac:dyDescent="0.3">
      <c r="A292" s="27" t="s">
        <v>976</v>
      </c>
      <c r="B292" s="29">
        <v>451490384.70840001</v>
      </c>
    </row>
    <row r="293" spans="1:2" x14ac:dyDescent="0.3">
      <c r="A293" s="28" t="s">
        <v>96</v>
      </c>
      <c r="B293" s="29">
        <v>12941220.75</v>
      </c>
    </row>
    <row r="294" spans="1:2" x14ac:dyDescent="0.3">
      <c r="A294" s="28" t="s">
        <v>1375</v>
      </c>
      <c r="B294" s="29">
        <v>8800000</v>
      </c>
    </row>
    <row r="295" spans="1:2" x14ac:dyDescent="0.3">
      <c r="A295" s="28" t="s">
        <v>118</v>
      </c>
      <c r="B295" s="29">
        <v>5950000</v>
      </c>
    </row>
    <row r="296" spans="1:2" x14ac:dyDescent="0.3">
      <c r="A296" s="28" t="s">
        <v>1266</v>
      </c>
      <c r="B296" s="29">
        <v>1400771</v>
      </c>
    </row>
    <row r="297" spans="1:2" x14ac:dyDescent="0.3">
      <c r="A297" s="28" t="s">
        <v>383</v>
      </c>
      <c r="B297" s="29">
        <v>3262680</v>
      </c>
    </row>
    <row r="298" spans="1:2" x14ac:dyDescent="0.3">
      <c r="A298" s="28" t="s">
        <v>232</v>
      </c>
      <c r="B298" s="29">
        <v>4148937.0000000005</v>
      </c>
    </row>
    <row r="299" spans="1:2" x14ac:dyDescent="0.3">
      <c r="A299" s="28" t="s">
        <v>104</v>
      </c>
      <c r="B299" s="29">
        <v>50550000</v>
      </c>
    </row>
    <row r="300" spans="1:2" x14ac:dyDescent="0.3">
      <c r="A300" s="28" t="s">
        <v>995</v>
      </c>
      <c r="B300" s="29">
        <v>6500000</v>
      </c>
    </row>
    <row r="301" spans="1:2" x14ac:dyDescent="0.3">
      <c r="A301" s="28" t="s">
        <v>1398</v>
      </c>
      <c r="B301" s="29">
        <v>2398798</v>
      </c>
    </row>
    <row r="302" spans="1:2" x14ac:dyDescent="0.3">
      <c r="A302" s="28" t="s">
        <v>1383</v>
      </c>
      <c r="B302" s="29">
        <v>2909550</v>
      </c>
    </row>
    <row r="303" spans="1:2" x14ac:dyDescent="0.3">
      <c r="A303" s="28" t="s">
        <v>261</v>
      </c>
      <c r="B303" s="29">
        <v>1176400</v>
      </c>
    </row>
    <row r="304" spans="1:2" x14ac:dyDescent="0.3">
      <c r="A304" s="28" t="s">
        <v>34</v>
      </c>
      <c r="B304" s="29">
        <v>2175043.5</v>
      </c>
    </row>
    <row r="305" spans="1:2" x14ac:dyDescent="0.3">
      <c r="A305" s="28" t="s">
        <v>23</v>
      </c>
      <c r="B305" s="29">
        <v>535500</v>
      </c>
    </row>
    <row r="306" spans="1:2" x14ac:dyDescent="0.3">
      <c r="A306" s="28" t="s">
        <v>59</v>
      </c>
      <c r="B306" s="29">
        <v>13960766.300000001</v>
      </c>
    </row>
    <row r="307" spans="1:2" x14ac:dyDescent="0.3">
      <c r="A307" s="28" t="s">
        <v>36</v>
      </c>
      <c r="B307" s="29">
        <v>8428070</v>
      </c>
    </row>
    <row r="308" spans="1:2" x14ac:dyDescent="0.3">
      <c r="A308" s="28" t="s">
        <v>1274</v>
      </c>
      <c r="B308" s="29">
        <v>36300000</v>
      </c>
    </row>
    <row r="309" spans="1:2" x14ac:dyDescent="0.3">
      <c r="A309" s="28" t="s">
        <v>1027</v>
      </c>
      <c r="B309" s="29">
        <v>7616000</v>
      </c>
    </row>
    <row r="310" spans="1:2" x14ac:dyDescent="0.3">
      <c r="A310" s="28" t="s">
        <v>1025</v>
      </c>
      <c r="B310" s="29">
        <v>15565200</v>
      </c>
    </row>
    <row r="311" spans="1:2" x14ac:dyDescent="0.3">
      <c r="A311" s="28" t="s">
        <v>237</v>
      </c>
      <c r="B311" s="29">
        <v>6743998</v>
      </c>
    </row>
    <row r="312" spans="1:2" x14ac:dyDescent="0.3">
      <c r="A312" s="28" t="s">
        <v>95</v>
      </c>
      <c r="B312" s="29">
        <v>88866807.819999993</v>
      </c>
    </row>
    <row r="313" spans="1:2" x14ac:dyDescent="0.3">
      <c r="A313" s="28" t="s">
        <v>196</v>
      </c>
      <c r="B313" s="29">
        <v>10667000</v>
      </c>
    </row>
    <row r="314" spans="1:2" x14ac:dyDescent="0.3">
      <c r="A314" s="28" t="s">
        <v>136</v>
      </c>
      <c r="B314" s="29">
        <v>9042553.25</v>
      </c>
    </row>
    <row r="315" spans="1:2" x14ac:dyDescent="0.3">
      <c r="A315" s="28" t="s">
        <v>94</v>
      </c>
      <c r="B315" s="29">
        <v>14413811.798400002</v>
      </c>
    </row>
    <row r="316" spans="1:2" x14ac:dyDescent="0.3">
      <c r="A316" s="28" t="s">
        <v>21</v>
      </c>
      <c r="B316" s="29">
        <v>13416287.289999999</v>
      </c>
    </row>
    <row r="317" spans="1:2" x14ac:dyDescent="0.3">
      <c r="A317" s="28" t="s">
        <v>1403</v>
      </c>
      <c r="B317" s="29">
        <v>5308690</v>
      </c>
    </row>
    <row r="318" spans="1:2" x14ac:dyDescent="0.3">
      <c r="A318" s="28" t="s">
        <v>1264</v>
      </c>
      <c r="B318" s="29">
        <v>602300</v>
      </c>
    </row>
    <row r="319" spans="1:2" x14ac:dyDescent="0.3">
      <c r="A319" s="28" t="s">
        <v>162</v>
      </c>
      <c r="B319" s="29">
        <v>117810000</v>
      </c>
    </row>
    <row r="320" spans="1:2" x14ac:dyDescent="0.3">
      <c r="A320" s="27" t="s">
        <v>1055</v>
      </c>
      <c r="B320" s="29">
        <v>182294017.49874598</v>
      </c>
    </row>
    <row r="321" spans="1:2" x14ac:dyDescent="0.3">
      <c r="A321" s="28" t="s">
        <v>96</v>
      </c>
      <c r="B321" s="29">
        <v>8787954</v>
      </c>
    </row>
    <row r="322" spans="1:2" x14ac:dyDescent="0.3">
      <c r="A322" s="28" t="s">
        <v>232</v>
      </c>
      <c r="B322" s="29">
        <v>11313136</v>
      </c>
    </row>
    <row r="323" spans="1:2" x14ac:dyDescent="0.3">
      <c r="A323" s="28" t="s">
        <v>1383</v>
      </c>
      <c r="B323" s="29">
        <v>9371250</v>
      </c>
    </row>
    <row r="324" spans="1:2" x14ac:dyDescent="0.3">
      <c r="A324" s="28" t="s">
        <v>34</v>
      </c>
      <c r="B324" s="29">
        <v>11580366</v>
      </c>
    </row>
    <row r="325" spans="1:2" x14ac:dyDescent="0.3">
      <c r="A325" s="28" t="s">
        <v>59</v>
      </c>
      <c r="B325" s="29">
        <v>7742500</v>
      </c>
    </row>
    <row r="326" spans="1:2" x14ac:dyDescent="0.3">
      <c r="A326" s="28" t="s">
        <v>36</v>
      </c>
      <c r="B326" s="29">
        <v>2485303.5</v>
      </c>
    </row>
    <row r="327" spans="1:2" x14ac:dyDescent="0.3">
      <c r="A327" s="28" t="s">
        <v>202</v>
      </c>
      <c r="B327" s="29">
        <v>857990</v>
      </c>
    </row>
    <row r="328" spans="1:2" x14ac:dyDescent="0.3">
      <c r="A328" s="28" t="s">
        <v>95</v>
      </c>
      <c r="B328" s="29">
        <v>28834000</v>
      </c>
    </row>
    <row r="329" spans="1:2" x14ac:dyDescent="0.3">
      <c r="A329" s="28" t="s">
        <v>136</v>
      </c>
      <c r="B329" s="29">
        <v>8170400</v>
      </c>
    </row>
    <row r="330" spans="1:2" x14ac:dyDescent="0.3">
      <c r="A330" s="28" t="s">
        <v>94</v>
      </c>
      <c r="B330" s="29">
        <v>7796117.9987459993</v>
      </c>
    </row>
    <row r="331" spans="1:2" x14ac:dyDescent="0.3">
      <c r="A331" s="28" t="s">
        <v>21</v>
      </c>
      <c r="B331" s="29">
        <v>5355000</v>
      </c>
    </row>
    <row r="332" spans="1:2" x14ac:dyDescent="0.3">
      <c r="A332" s="28" t="s">
        <v>1282</v>
      </c>
      <c r="B332" s="29">
        <v>80000000</v>
      </c>
    </row>
    <row r="333" spans="1:2" x14ac:dyDescent="0.3">
      <c r="A333" s="27" t="s">
        <v>1115</v>
      </c>
      <c r="B333" s="29">
        <v>292213635.99899995</v>
      </c>
    </row>
    <row r="334" spans="1:2" x14ac:dyDescent="0.3">
      <c r="A334" s="28" t="s">
        <v>96</v>
      </c>
      <c r="B334" s="29">
        <v>2580000</v>
      </c>
    </row>
    <row r="335" spans="1:2" x14ac:dyDescent="0.3">
      <c r="A335" s="28" t="s">
        <v>1380</v>
      </c>
      <c r="B335" s="29">
        <v>661400</v>
      </c>
    </row>
    <row r="336" spans="1:2" x14ac:dyDescent="0.3">
      <c r="A336" s="28" t="s">
        <v>383</v>
      </c>
      <c r="B336" s="29">
        <v>4436960</v>
      </c>
    </row>
    <row r="337" spans="1:2" x14ac:dyDescent="0.3">
      <c r="A337" s="28" t="s">
        <v>232</v>
      </c>
      <c r="B337" s="29">
        <v>5053127.3099999996</v>
      </c>
    </row>
    <row r="338" spans="1:2" x14ac:dyDescent="0.3">
      <c r="A338" s="28" t="s">
        <v>1398</v>
      </c>
      <c r="B338" s="29">
        <v>5994462.2699999996</v>
      </c>
    </row>
    <row r="339" spans="1:2" x14ac:dyDescent="0.3">
      <c r="A339" s="28" t="s">
        <v>1383</v>
      </c>
      <c r="B339" s="29">
        <v>23972205</v>
      </c>
    </row>
    <row r="340" spans="1:2" x14ac:dyDescent="0.3">
      <c r="A340" s="28" t="s">
        <v>34</v>
      </c>
      <c r="B340" s="29">
        <v>33090409.280000001</v>
      </c>
    </row>
    <row r="341" spans="1:2" x14ac:dyDescent="0.3">
      <c r="A341" s="28" t="s">
        <v>23</v>
      </c>
      <c r="B341" s="29">
        <v>5650000</v>
      </c>
    </row>
    <row r="342" spans="1:2" x14ac:dyDescent="0.3">
      <c r="A342" s="28" t="s">
        <v>36</v>
      </c>
      <c r="B342" s="29">
        <v>10229269.77</v>
      </c>
    </row>
    <row r="343" spans="1:2" x14ac:dyDescent="0.3">
      <c r="A343" s="28" t="s">
        <v>237</v>
      </c>
      <c r="B343" s="29">
        <v>2565000</v>
      </c>
    </row>
    <row r="344" spans="1:2" x14ac:dyDescent="0.3">
      <c r="A344" s="28" t="s">
        <v>95</v>
      </c>
      <c r="B344" s="29">
        <v>97153500</v>
      </c>
    </row>
    <row r="345" spans="1:2" x14ac:dyDescent="0.3">
      <c r="A345" s="28" t="s">
        <v>136</v>
      </c>
      <c r="B345" s="29">
        <v>17500000</v>
      </c>
    </row>
    <row r="346" spans="1:2" x14ac:dyDescent="0.3">
      <c r="A346" s="28" t="s">
        <v>94</v>
      </c>
      <c r="B346" s="29">
        <v>9166659.368999999</v>
      </c>
    </row>
    <row r="347" spans="1:2" x14ac:dyDescent="0.3">
      <c r="A347" s="28" t="s">
        <v>21</v>
      </c>
      <c r="B347" s="29">
        <v>4522000</v>
      </c>
    </row>
    <row r="348" spans="1:2" x14ac:dyDescent="0.3">
      <c r="A348" s="28" t="s">
        <v>1282</v>
      </c>
      <c r="B348" s="29">
        <v>69638643</v>
      </c>
    </row>
    <row r="349" spans="1:2" x14ac:dyDescent="0.3">
      <c r="A349" s="27" t="s">
        <v>1161</v>
      </c>
      <c r="B349" s="29">
        <v>53837246.280000001</v>
      </c>
    </row>
    <row r="350" spans="1:2" x14ac:dyDescent="0.3">
      <c r="A350" s="28" t="s">
        <v>96</v>
      </c>
      <c r="B350" s="29">
        <v>1749822</v>
      </c>
    </row>
    <row r="351" spans="1:2" x14ac:dyDescent="0.3">
      <c r="A351" s="28" t="s">
        <v>1380</v>
      </c>
      <c r="B351" s="29">
        <v>96000</v>
      </c>
    </row>
    <row r="352" spans="1:2" x14ac:dyDescent="0.3">
      <c r="A352" s="28" t="s">
        <v>182</v>
      </c>
      <c r="B352" s="29">
        <v>1004360</v>
      </c>
    </row>
    <row r="353" spans="1:2" x14ac:dyDescent="0.3">
      <c r="A353" s="28" t="s">
        <v>1387</v>
      </c>
      <c r="B353" s="29">
        <v>799680</v>
      </c>
    </row>
    <row r="354" spans="1:2" x14ac:dyDescent="0.3">
      <c r="A354" s="28" t="s">
        <v>383</v>
      </c>
      <c r="B354" s="29">
        <v>3327720</v>
      </c>
    </row>
    <row r="355" spans="1:2" x14ac:dyDescent="0.3">
      <c r="A355" s="28" t="s">
        <v>232</v>
      </c>
      <c r="B355" s="29">
        <v>4725000</v>
      </c>
    </row>
    <row r="356" spans="1:2" x14ac:dyDescent="0.3">
      <c r="A356" s="28" t="s">
        <v>1383</v>
      </c>
      <c r="B356" s="29">
        <v>1560000</v>
      </c>
    </row>
    <row r="357" spans="1:2" x14ac:dyDescent="0.3">
      <c r="A357" s="28" t="s">
        <v>261</v>
      </c>
      <c r="B357" s="29">
        <v>419534.5</v>
      </c>
    </row>
    <row r="358" spans="1:2" x14ac:dyDescent="0.3">
      <c r="A358" s="28" t="s">
        <v>34</v>
      </c>
      <c r="B358" s="29">
        <v>9683000</v>
      </c>
    </row>
    <row r="359" spans="1:2" x14ac:dyDescent="0.3">
      <c r="A359" s="28" t="s">
        <v>59</v>
      </c>
      <c r="B359" s="29">
        <v>5850300</v>
      </c>
    </row>
    <row r="360" spans="1:2" x14ac:dyDescent="0.3">
      <c r="A360" s="28" t="s">
        <v>237</v>
      </c>
      <c r="B360" s="29">
        <v>894180</v>
      </c>
    </row>
    <row r="361" spans="1:2" x14ac:dyDescent="0.3">
      <c r="A361" s="28" t="s">
        <v>95</v>
      </c>
      <c r="B361" s="29">
        <v>13294000</v>
      </c>
    </row>
    <row r="362" spans="1:2" x14ac:dyDescent="0.3">
      <c r="A362" s="28" t="s">
        <v>136</v>
      </c>
      <c r="B362" s="29">
        <v>3900000</v>
      </c>
    </row>
    <row r="363" spans="1:2" x14ac:dyDescent="0.3">
      <c r="A363" s="28" t="s">
        <v>94</v>
      </c>
      <c r="B363" s="29">
        <v>3034500</v>
      </c>
    </row>
    <row r="364" spans="1:2" x14ac:dyDescent="0.3">
      <c r="A364" s="28" t="s">
        <v>21</v>
      </c>
      <c r="B364" s="29">
        <v>3499149.78</v>
      </c>
    </row>
    <row r="365" spans="1:2" x14ac:dyDescent="0.3">
      <c r="A365" s="27" t="s">
        <v>1394</v>
      </c>
      <c r="B365" s="29">
        <v>9334771344.3317127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I1" workbookViewId="0">
      <selection activeCell="O3" sqref="O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t="s">
        <v>100</v>
      </c>
      <c r="C2" s="10" t="s">
        <v>101</v>
      </c>
      <c r="D2" s="11">
        <v>43924</v>
      </c>
      <c r="E2" s="11">
        <v>43927</v>
      </c>
      <c r="F2" s="31">
        <v>298166400</v>
      </c>
      <c r="G2" s="32">
        <v>0</v>
      </c>
      <c r="H2" s="8" t="s">
        <v>102</v>
      </c>
      <c r="I2" s="12">
        <v>900594755</v>
      </c>
      <c r="J2" s="13" t="s">
        <v>103</v>
      </c>
      <c r="K2" s="14">
        <v>58</v>
      </c>
      <c r="L2" s="15" t="s">
        <v>250</v>
      </c>
      <c r="M2" s="16">
        <v>2980000</v>
      </c>
      <c r="N2" s="16">
        <f>M2*0.19</f>
        <v>566200</v>
      </c>
      <c r="O2" s="16">
        <f t="shared" ref="O2:O3" si="0">K2*(M2+N2)</f>
        <v>205679600</v>
      </c>
      <c r="P2" s="14" t="s">
        <v>104</v>
      </c>
    </row>
    <row r="3" spans="1:16" x14ac:dyDescent="0.3">
      <c r="A3" s="8" t="s">
        <v>976</v>
      </c>
      <c r="B3" s="9" t="s">
        <v>983</v>
      </c>
      <c r="C3" s="10" t="s">
        <v>984</v>
      </c>
      <c r="D3" s="11">
        <v>43917</v>
      </c>
      <c r="E3" s="11">
        <v>43917</v>
      </c>
      <c r="F3" s="31">
        <v>56500000</v>
      </c>
      <c r="G3" s="32">
        <v>0</v>
      </c>
      <c r="H3" s="8" t="s">
        <v>985</v>
      </c>
      <c r="I3" s="12">
        <v>92640352</v>
      </c>
      <c r="J3" s="13" t="s">
        <v>1408</v>
      </c>
      <c r="K3" s="14">
        <v>30</v>
      </c>
      <c r="L3" s="15" t="s">
        <v>250</v>
      </c>
      <c r="M3" s="16">
        <v>1685000</v>
      </c>
      <c r="N3" s="16">
        <v>0</v>
      </c>
      <c r="O3" s="16">
        <f t="shared" si="0"/>
        <v>50550000</v>
      </c>
      <c r="P3" s="14" t="s">
        <v>104</v>
      </c>
    </row>
  </sheetData>
  <dataValidations count="9">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formula1>-999999999</formula1>
      <formula2>999999999</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O3" sqref="O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976</v>
      </c>
      <c r="B2" s="9" t="s">
        <v>991</v>
      </c>
      <c r="C2" s="10" t="s">
        <v>992</v>
      </c>
      <c r="D2" s="11">
        <v>43977</v>
      </c>
      <c r="E2" s="11">
        <v>43978</v>
      </c>
      <c r="F2" s="31">
        <v>3800000</v>
      </c>
      <c r="G2" s="32">
        <v>0</v>
      </c>
      <c r="H2" s="8" t="s">
        <v>993</v>
      </c>
      <c r="I2" s="12">
        <v>52516254</v>
      </c>
      <c r="J2" s="13" t="s">
        <v>994</v>
      </c>
      <c r="K2" s="14">
        <v>1</v>
      </c>
      <c r="L2" s="15" t="s">
        <v>250</v>
      </c>
      <c r="M2" s="16">
        <v>3800000</v>
      </c>
      <c r="N2" s="16">
        <v>0</v>
      </c>
      <c r="O2" s="16">
        <f t="shared" ref="O2:O3" si="0">K2*(M2+N2)</f>
        <v>3800000</v>
      </c>
      <c r="P2" s="14" t="s">
        <v>995</v>
      </c>
    </row>
    <row r="3" spans="1:16" x14ac:dyDescent="0.3">
      <c r="A3" s="8" t="s">
        <v>976</v>
      </c>
      <c r="B3" s="9" t="s">
        <v>1013</v>
      </c>
      <c r="C3" s="10" t="s">
        <v>992</v>
      </c>
      <c r="D3" s="11">
        <v>44001</v>
      </c>
      <c r="E3" s="11">
        <v>43978</v>
      </c>
      <c r="F3" s="31">
        <v>0</v>
      </c>
      <c r="G3" s="32">
        <v>2700000</v>
      </c>
      <c r="H3" s="8" t="s">
        <v>993</v>
      </c>
      <c r="I3" s="12">
        <v>52516254</v>
      </c>
      <c r="J3" s="13" t="s">
        <v>994</v>
      </c>
      <c r="K3" s="14">
        <v>1</v>
      </c>
      <c r="L3" s="15" t="s">
        <v>250</v>
      </c>
      <c r="M3" s="16">
        <v>2700000</v>
      </c>
      <c r="N3" s="16">
        <v>0</v>
      </c>
      <c r="O3" s="16">
        <f t="shared" si="0"/>
        <v>2700000</v>
      </c>
      <c r="P3" s="14" t="s">
        <v>995</v>
      </c>
    </row>
  </sheetData>
  <dataValidations count="7">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3">
      <formula1>1900/1/1</formula1>
      <formula2>3000/1/1</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I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544</v>
      </c>
      <c r="B2" s="9" t="s">
        <v>545</v>
      </c>
      <c r="C2" s="10" t="s">
        <v>546</v>
      </c>
      <c r="D2" s="11" t="s">
        <v>547</v>
      </c>
      <c r="E2" s="11" t="s">
        <v>547</v>
      </c>
      <c r="F2" s="31">
        <v>21078782</v>
      </c>
      <c r="G2" s="32">
        <v>0</v>
      </c>
      <c r="H2" s="8" t="s">
        <v>548</v>
      </c>
      <c r="I2" s="12">
        <v>900406714</v>
      </c>
      <c r="J2" s="13" t="s">
        <v>554</v>
      </c>
      <c r="K2" s="14">
        <v>20</v>
      </c>
      <c r="L2" s="15" t="s">
        <v>172</v>
      </c>
      <c r="M2" s="16">
        <v>12653.846000000001</v>
      </c>
      <c r="N2" s="16">
        <v>2404.2307400000004</v>
      </c>
      <c r="O2" s="16">
        <f t="shared" ref="O2:O8" si="0">K2*(M2+N2)</f>
        <v>301161.53480000002</v>
      </c>
      <c r="P2" s="14" t="s">
        <v>1398</v>
      </c>
    </row>
    <row r="3" spans="1:16" x14ac:dyDescent="0.3">
      <c r="A3" s="8" t="s">
        <v>623</v>
      </c>
      <c r="B3" s="9" t="s">
        <v>640</v>
      </c>
      <c r="C3" s="10" t="s">
        <v>625</v>
      </c>
      <c r="D3" s="11">
        <v>43920</v>
      </c>
      <c r="E3" s="11">
        <v>43922</v>
      </c>
      <c r="F3" s="31">
        <v>26949480</v>
      </c>
      <c r="G3" s="32">
        <v>0</v>
      </c>
      <c r="H3" s="8" t="s">
        <v>641</v>
      </c>
      <c r="I3" s="12">
        <v>900916649</v>
      </c>
      <c r="J3" s="13" t="s">
        <v>642</v>
      </c>
      <c r="K3" s="14">
        <v>400</v>
      </c>
      <c r="L3" s="15" t="s">
        <v>172</v>
      </c>
      <c r="M3" s="16">
        <v>47500</v>
      </c>
      <c r="N3" s="16">
        <v>0</v>
      </c>
      <c r="O3" s="16">
        <f t="shared" si="0"/>
        <v>19000000</v>
      </c>
      <c r="P3" s="14" t="s">
        <v>1398</v>
      </c>
    </row>
    <row r="4" spans="1:16" x14ac:dyDescent="0.3">
      <c r="A4" s="8" t="s">
        <v>623</v>
      </c>
      <c r="B4" s="9" t="s">
        <v>668</v>
      </c>
      <c r="C4" s="10" t="s">
        <v>661</v>
      </c>
      <c r="D4" s="11">
        <v>43979</v>
      </c>
      <c r="E4" s="11">
        <v>43985</v>
      </c>
      <c r="F4" s="31">
        <v>87642600</v>
      </c>
      <c r="G4" s="32">
        <v>0</v>
      </c>
      <c r="H4" s="8" t="s">
        <v>657</v>
      </c>
      <c r="I4" s="12">
        <v>900347045</v>
      </c>
      <c r="J4" s="13" t="s">
        <v>670</v>
      </c>
      <c r="K4" s="14">
        <v>1080</v>
      </c>
      <c r="L4" s="15" t="s">
        <v>172</v>
      </c>
      <c r="M4" s="16">
        <v>17995</v>
      </c>
      <c r="N4" s="16">
        <v>0</v>
      </c>
      <c r="O4" s="16">
        <f t="shared" si="0"/>
        <v>19434600</v>
      </c>
      <c r="P4" s="14" t="s">
        <v>1398</v>
      </c>
    </row>
    <row r="5" spans="1:16" x14ac:dyDescent="0.3">
      <c r="A5" s="8" t="s">
        <v>959</v>
      </c>
      <c r="B5" s="9">
        <v>35</v>
      </c>
      <c r="C5" s="10" t="s">
        <v>960</v>
      </c>
      <c r="D5" s="11">
        <v>43477</v>
      </c>
      <c r="E5" s="11">
        <v>43800</v>
      </c>
      <c r="F5" s="31">
        <v>0</v>
      </c>
      <c r="G5" s="32">
        <v>67434392</v>
      </c>
      <c r="H5" s="8" t="s">
        <v>961</v>
      </c>
      <c r="I5" s="12">
        <v>811044253</v>
      </c>
      <c r="J5" s="13" t="s">
        <v>968</v>
      </c>
      <c r="K5" s="14">
        <v>22</v>
      </c>
      <c r="L5" s="15" t="s">
        <v>172</v>
      </c>
      <c r="M5" s="16">
        <v>77000</v>
      </c>
      <c r="N5" s="16">
        <v>0</v>
      </c>
      <c r="O5" s="16">
        <f t="shared" si="0"/>
        <v>1694000</v>
      </c>
      <c r="P5" s="14" t="s">
        <v>1398</v>
      </c>
    </row>
    <row r="6" spans="1:16" x14ac:dyDescent="0.3">
      <c r="A6" s="8" t="s">
        <v>976</v>
      </c>
      <c r="B6" s="9" t="s">
        <v>1032</v>
      </c>
      <c r="C6" s="10" t="s">
        <v>1029</v>
      </c>
      <c r="D6" s="11">
        <v>43979</v>
      </c>
      <c r="E6" s="11">
        <v>43979</v>
      </c>
      <c r="F6" s="31">
        <v>2297873</v>
      </c>
      <c r="G6" s="32">
        <v>0</v>
      </c>
      <c r="H6" s="8" t="s">
        <v>1033</v>
      </c>
      <c r="I6" s="12">
        <v>901104771</v>
      </c>
      <c r="J6" s="13" t="s">
        <v>1471</v>
      </c>
      <c r="K6" s="14">
        <v>757</v>
      </c>
      <c r="L6" s="15" t="s">
        <v>172</v>
      </c>
      <c r="M6" s="16">
        <v>2614</v>
      </c>
      <c r="N6" s="16">
        <v>0</v>
      </c>
      <c r="O6" s="16">
        <f t="shared" si="0"/>
        <v>1978798</v>
      </c>
      <c r="P6" s="14" t="s">
        <v>1398</v>
      </c>
    </row>
    <row r="7" spans="1:16" x14ac:dyDescent="0.3">
      <c r="A7" s="8" t="s">
        <v>976</v>
      </c>
      <c r="B7" s="9" t="s">
        <v>1258</v>
      </c>
      <c r="C7" s="10" t="s">
        <v>1259</v>
      </c>
      <c r="D7" s="11">
        <v>43770</v>
      </c>
      <c r="E7" s="11">
        <v>43936</v>
      </c>
      <c r="F7" s="31">
        <v>0</v>
      </c>
      <c r="G7" s="32">
        <v>31068000</v>
      </c>
      <c r="H7" s="8" t="s">
        <v>1260</v>
      </c>
      <c r="I7" s="12">
        <v>812000152</v>
      </c>
      <c r="J7" s="13" t="s">
        <v>1267</v>
      </c>
      <c r="K7" s="14">
        <v>100</v>
      </c>
      <c r="L7" s="15" t="s">
        <v>250</v>
      </c>
      <c r="M7" s="16">
        <v>4200</v>
      </c>
      <c r="N7" s="16">
        <v>0</v>
      </c>
      <c r="O7" s="16">
        <f t="shared" si="0"/>
        <v>420000</v>
      </c>
      <c r="P7" s="14" t="s">
        <v>1398</v>
      </c>
    </row>
    <row r="8" spans="1:16" x14ac:dyDescent="0.3">
      <c r="A8" s="8" t="s">
        <v>1115</v>
      </c>
      <c r="B8" s="9" t="s">
        <v>1138</v>
      </c>
      <c r="C8" s="10" t="s">
        <v>1139</v>
      </c>
      <c r="D8" s="11">
        <v>43965</v>
      </c>
      <c r="E8" s="11">
        <v>43965</v>
      </c>
      <c r="F8" s="31">
        <v>11910547.07</v>
      </c>
      <c r="G8" s="32">
        <v>0</v>
      </c>
      <c r="H8" s="8" t="s">
        <v>227</v>
      </c>
      <c r="I8" s="12">
        <v>90070405</v>
      </c>
      <c r="J8" s="13" t="s">
        <v>1472</v>
      </c>
      <c r="K8" s="14">
        <v>2316</v>
      </c>
      <c r="L8" s="15" t="s">
        <v>172</v>
      </c>
      <c r="M8" s="16">
        <v>2588.2824999999998</v>
      </c>
      <c r="N8" s="16">
        <v>0</v>
      </c>
      <c r="O8" s="16">
        <f t="shared" si="0"/>
        <v>5994462.2699999996</v>
      </c>
      <c r="P8" s="14" t="s">
        <v>1398</v>
      </c>
    </row>
  </sheetData>
  <dataValidations count="10">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B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I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A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3 F5:F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6 E2:E3 D8:I8 A8:B8">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3 D6">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4:E5">
      <formula1>1900/1/1</formula1>
      <formula2>3000/1/1</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1" workbookViewId="0">
      <selection activeCell="O5" sqref="O5"/>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153</v>
      </c>
      <c r="B2" s="9" t="s">
        <v>158</v>
      </c>
      <c r="C2" s="10" t="s">
        <v>159</v>
      </c>
      <c r="D2" s="11">
        <v>43917</v>
      </c>
      <c r="E2" s="11">
        <v>43917</v>
      </c>
      <c r="F2" s="31">
        <v>11284977</v>
      </c>
      <c r="G2" s="32">
        <v>0</v>
      </c>
      <c r="H2" s="8" t="s">
        <v>160</v>
      </c>
      <c r="I2" s="12">
        <v>1095815252</v>
      </c>
      <c r="J2" s="13" t="s">
        <v>163</v>
      </c>
      <c r="K2" s="14">
        <v>37</v>
      </c>
      <c r="L2" s="15" t="s">
        <v>250</v>
      </c>
      <c r="M2" s="16">
        <v>117647</v>
      </c>
      <c r="N2" s="16">
        <f>M2*0.19</f>
        <v>22352.93</v>
      </c>
      <c r="O2" s="16">
        <f>K2*(M2+N2)</f>
        <v>5179997.41</v>
      </c>
      <c r="P2" s="14" t="s">
        <v>164</v>
      </c>
    </row>
    <row r="3" spans="1:16" x14ac:dyDescent="0.3">
      <c r="A3" s="8" t="s">
        <v>544</v>
      </c>
      <c r="B3" s="9" t="s">
        <v>618</v>
      </c>
      <c r="C3" s="10" t="s">
        <v>619</v>
      </c>
      <c r="D3" s="11">
        <v>43980</v>
      </c>
      <c r="E3" s="11">
        <v>43980</v>
      </c>
      <c r="F3" s="31">
        <v>64800000</v>
      </c>
      <c r="G3" s="32">
        <v>0</v>
      </c>
      <c r="H3" s="8" t="s">
        <v>620</v>
      </c>
      <c r="I3" s="12">
        <v>901315614</v>
      </c>
      <c r="J3" s="13" t="s">
        <v>621</v>
      </c>
      <c r="K3" s="14">
        <v>160</v>
      </c>
      <c r="L3" s="15" t="s">
        <v>250</v>
      </c>
      <c r="M3" s="16">
        <v>176470.59</v>
      </c>
      <c r="N3" s="16">
        <f t="shared" ref="N3" si="0">M3*0.19</f>
        <v>33529.412100000001</v>
      </c>
      <c r="O3" s="16">
        <f t="shared" ref="O3:O5" si="1">K3*(M3+N3)</f>
        <v>33600000.335999995</v>
      </c>
      <c r="P3" s="14" t="s">
        <v>164</v>
      </c>
    </row>
    <row r="4" spans="1:16" x14ac:dyDescent="0.3">
      <c r="A4" s="8" t="s">
        <v>1231</v>
      </c>
      <c r="B4" s="9" t="s">
        <v>1240</v>
      </c>
      <c r="C4" s="17" t="s">
        <v>1241</v>
      </c>
      <c r="D4" s="11">
        <v>43915</v>
      </c>
      <c r="E4" s="11">
        <v>43921</v>
      </c>
      <c r="F4" s="31">
        <v>55131040</v>
      </c>
      <c r="G4" s="32">
        <v>0</v>
      </c>
      <c r="H4" s="8" t="s">
        <v>1242</v>
      </c>
      <c r="I4" s="12">
        <v>900885138</v>
      </c>
      <c r="J4" s="13" t="s">
        <v>1244</v>
      </c>
      <c r="K4" s="14">
        <v>235</v>
      </c>
      <c r="L4" s="15" t="s">
        <v>250</v>
      </c>
      <c r="M4" s="16">
        <v>63000</v>
      </c>
      <c r="N4" s="16">
        <v>0</v>
      </c>
      <c r="O4" s="16">
        <f t="shared" si="1"/>
        <v>14805000</v>
      </c>
      <c r="P4" s="19" t="s">
        <v>164</v>
      </c>
    </row>
    <row r="5" spans="1:16" x14ac:dyDescent="0.3">
      <c r="A5" s="8" t="s">
        <v>885</v>
      </c>
      <c r="B5" s="9" t="s">
        <v>890</v>
      </c>
      <c r="C5" s="17" t="s">
        <v>891</v>
      </c>
      <c r="D5" s="11">
        <v>43994</v>
      </c>
      <c r="E5" s="11">
        <v>43994</v>
      </c>
      <c r="F5" s="31">
        <v>45932000</v>
      </c>
      <c r="G5" s="32">
        <v>0</v>
      </c>
      <c r="H5" s="8" t="s">
        <v>892</v>
      </c>
      <c r="I5" s="12">
        <v>1083893865</v>
      </c>
      <c r="J5" s="13" t="s">
        <v>893</v>
      </c>
      <c r="K5" s="14">
        <v>119</v>
      </c>
      <c r="L5" s="15" t="s">
        <v>250</v>
      </c>
      <c r="M5" s="16">
        <v>124369.74789915967</v>
      </c>
      <c r="N5" s="16">
        <f>M5*0.19</f>
        <v>23630.252100840338</v>
      </c>
      <c r="O5" s="16">
        <f t="shared" si="1"/>
        <v>17612000</v>
      </c>
      <c r="P5" s="19" t="s">
        <v>164</v>
      </c>
    </row>
  </sheetData>
  <dataValidations count="9">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3:E3">
      <formula1>1900/1/1</formula1>
      <formula2>3000/1/1</formula2>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J7" workbookViewId="0">
      <selection activeCell="O33" sqref="O3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68</v>
      </c>
      <c r="C2" s="10" t="s">
        <v>69</v>
      </c>
      <c r="D2" s="11">
        <v>44012</v>
      </c>
      <c r="E2" s="11">
        <v>44012</v>
      </c>
      <c r="F2" s="31">
        <v>11342250</v>
      </c>
      <c r="G2" s="32">
        <v>0</v>
      </c>
      <c r="H2" s="8" t="s">
        <v>54</v>
      </c>
      <c r="I2" s="12">
        <v>890900943</v>
      </c>
      <c r="J2" s="13" t="s">
        <v>70</v>
      </c>
      <c r="K2" s="14">
        <v>45</v>
      </c>
      <c r="L2" s="15" t="s">
        <v>250</v>
      </c>
      <c r="M2" s="16">
        <v>211806.72</v>
      </c>
      <c r="N2" s="16">
        <f t="shared" ref="N2" si="0">M2*19%</f>
        <v>40243.2768</v>
      </c>
      <c r="O2" s="16">
        <f t="shared" ref="O2:O4" si="1">K2*(M2+N2)</f>
        <v>11342249.856000001</v>
      </c>
      <c r="P2" s="14" t="s">
        <v>1383</v>
      </c>
    </row>
    <row r="3" spans="1:16" x14ac:dyDescent="0.3">
      <c r="A3" s="8" t="s">
        <v>86</v>
      </c>
      <c r="B3" s="9">
        <v>52492</v>
      </c>
      <c r="C3" s="10" t="s">
        <v>145</v>
      </c>
      <c r="D3" s="11">
        <v>44035</v>
      </c>
      <c r="E3" s="11">
        <v>44035</v>
      </c>
      <c r="F3" s="31">
        <v>30011800</v>
      </c>
      <c r="G3" s="32">
        <v>0</v>
      </c>
      <c r="H3" s="8" t="s">
        <v>146</v>
      </c>
      <c r="I3" s="12">
        <v>9001413756</v>
      </c>
      <c r="J3" s="13" t="s">
        <v>147</v>
      </c>
      <c r="K3" s="14">
        <v>388</v>
      </c>
      <c r="L3" s="15" t="s">
        <v>250</v>
      </c>
      <c r="M3" s="16">
        <v>65000</v>
      </c>
      <c r="N3" s="16">
        <v>12350</v>
      </c>
      <c r="O3" s="16">
        <f t="shared" si="1"/>
        <v>30011800</v>
      </c>
      <c r="P3" s="14" t="s">
        <v>1383</v>
      </c>
    </row>
    <row r="4" spans="1:16" x14ac:dyDescent="0.3">
      <c r="A4" s="8" t="s">
        <v>153</v>
      </c>
      <c r="B4" s="9" t="s">
        <v>216</v>
      </c>
      <c r="C4" s="10" t="s">
        <v>217</v>
      </c>
      <c r="D4" s="11">
        <v>43977</v>
      </c>
      <c r="E4" s="11">
        <v>43977</v>
      </c>
      <c r="F4" s="31">
        <v>2990000</v>
      </c>
      <c r="G4" s="32">
        <v>0</v>
      </c>
      <c r="H4" s="8" t="s">
        <v>218</v>
      </c>
      <c r="I4" s="12">
        <v>900155107</v>
      </c>
      <c r="J4" s="13" t="s">
        <v>219</v>
      </c>
      <c r="K4" s="14">
        <v>23</v>
      </c>
      <c r="L4" s="15" t="s">
        <v>250</v>
      </c>
      <c r="M4" s="16">
        <f>130000/1.19</f>
        <v>109243.6974789916</v>
      </c>
      <c r="N4" s="16">
        <f>M4*19%</f>
        <v>20756.302521008405</v>
      </c>
      <c r="O4" s="16">
        <f t="shared" si="1"/>
        <v>2990000</v>
      </c>
      <c r="P4" s="14" t="s">
        <v>1383</v>
      </c>
    </row>
    <row r="5" spans="1:16" x14ac:dyDescent="0.3">
      <c r="A5" s="8" t="s">
        <v>252</v>
      </c>
      <c r="B5" s="9" t="s">
        <v>307</v>
      </c>
      <c r="C5" s="10" t="s">
        <v>308</v>
      </c>
      <c r="D5" s="11">
        <v>44018</v>
      </c>
      <c r="E5" s="11">
        <v>44020</v>
      </c>
      <c r="F5" s="31">
        <v>13711200</v>
      </c>
      <c r="G5" s="32">
        <v>0</v>
      </c>
      <c r="H5" s="8" t="s">
        <v>309</v>
      </c>
      <c r="I5" s="12">
        <v>830501019</v>
      </c>
      <c r="J5" s="13" t="s">
        <v>310</v>
      </c>
      <c r="K5" s="14">
        <v>60</v>
      </c>
      <c r="L5" s="15" t="s">
        <v>250</v>
      </c>
      <c r="M5" s="16">
        <v>108000</v>
      </c>
      <c r="N5" s="16">
        <f>M5*0.19</f>
        <v>20520</v>
      </c>
      <c r="O5" s="16">
        <f>K5*(M5+N5)</f>
        <v>7711200</v>
      </c>
      <c r="P5" s="14" t="s">
        <v>1383</v>
      </c>
    </row>
    <row r="6" spans="1:16" x14ac:dyDescent="0.3">
      <c r="A6" s="8" t="s">
        <v>320</v>
      </c>
      <c r="B6" s="9" t="s">
        <v>366</v>
      </c>
      <c r="C6" s="10" t="s">
        <v>367</v>
      </c>
      <c r="D6" s="11">
        <v>43984</v>
      </c>
      <c r="E6" s="11">
        <v>43984</v>
      </c>
      <c r="F6" s="31">
        <v>2600000</v>
      </c>
      <c r="G6" s="32">
        <v>0</v>
      </c>
      <c r="H6" s="8" t="s">
        <v>368</v>
      </c>
      <c r="I6" s="12">
        <v>900155107</v>
      </c>
      <c r="J6" s="13" t="s">
        <v>369</v>
      </c>
      <c r="K6" s="14">
        <v>20</v>
      </c>
      <c r="L6" s="15" t="s">
        <v>250</v>
      </c>
      <c r="M6" s="16">
        <v>109244</v>
      </c>
      <c r="N6" s="16">
        <f>M6*0.19</f>
        <v>20756.36</v>
      </c>
      <c r="O6" s="16">
        <f>K6*(M6+N6)</f>
        <v>2600007.2000000002</v>
      </c>
      <c r="P6" s="14" t="s">
        <v>1383</v>
      </c>
    </row>
    <row r="7" spans="1:16" x14ac:dyDescent="0.3">
      <c r="A7" s="8" t="s">
        <v>1322</v>
      </c>
      <c r="B7" s="9" t="s">
        <v>1343</v>
      </c>
      <c r="C7" s="17" t="s">
        <v>1344</v>
      </c>
      <c r="D7" s="11">
        <v>43977</v>
      </c>
      <c r="E7" s="11">
        <v>43978</v>
      </c>
      <c r="F7" s="31">
        <v>18549720</v>
      </c>
      <c r="G7" s="32">
        <v>0</v>
      </c>
      <c r="H7" s="8" t="s">
        <v>1345</v>
      </c>
      <c r="I7" s="12">
        <v>1090509490</v>
      </c>
      <c r="J7" s="13" t="s">
        <v>1384</v>
      </c>
      <c r="K7" s="14">
        <v>39</v>
      </c>
      <c r="L7" s="15" t="s">
        <v>250</v>
      </c>
      <c r="M7" s="16">
        <v>205000</v>
      </c>
      <c r="N7" s="16">
        <f>M7*0.19</f>
        <v>38950</v>
      </c>
      <c r="O7" s="16">
        <f>K7*(M7+N7)</f>
        <v>9514050</v>
      </c>
      <c r="P7" s="14" t="s">
        <v>1383</v>
      </c>
    </row>
    <row r="8" spans="1:16" x14ac:dyDescent="0.3">
      <c r="A8" s="8" t="s">
        <v>1322</v>
      </c>
      <c r="B8" s="9" t="s">
        <v>1362</v>
      </c>
      <c r="C8" s="17" t="s">
        <v>1399</v>
      </c>
      <c r="D8" s="11">
        <v>44007</v>
      </c>
      <c r="E8" s="11">
        <v>44012</v>
      </c>
      <c r="F8" s="31">
        <v>8568000</v>
      </c>
      <c r="G8" s="32">
        <v>0</v>
      </c>
      <c r="H8" s="8" t="s">
        <v>1363</v>
      </c>
      <c r="I8" s="12">
        <v>372476171</v>
      </c>
      <c r="J8" s="13" t="s">
        <v>1364</v>
      </c>
      <c r="K8" s="14">
        <v>60</v>
      </c>
      <c r="L8" s="15" t="s">
        <v>250</v>
      </c>
      <c r="M8" s="16">
        <v>120000</v>
      </c>
      <c r="N8" s="16">
        <f>M8*0.19</f>
        <v>22800</v>
      </c>
      <c r="O8" s="16">
        <f>K8*(M8+N8)</f>
        <v>8568000</v>
      </c>
      <c r="P8" s="14" t="s">
        <v>1383</v>
      </c>
    </row>
    <row r="9" spans="1:16" x14ac:dyDescent="0.3">
      <c r="A9" s="8" t="s">
        <v>387</v>
      </c>
      <c r="B9" s="9" t="s">
        <v>397</v>
      </c>
      <c r="C9" s="10" t="s">
        <v>398</v>
      </c>
      <c r="D9" s="11">
        <v>44015</v>
      </c>
      <c r="E9" s="11">
        <v>44018</v>
      </c>
      <c r="F9" s="31">
        <v>201000100</v>
      </c>
      <c r="G9" s="32">
        <v>0</v>
      </c>
      <c r="H9" s="8" t="s">
        <v>390</v>
      </c>
      <c r="I9" s="12">
        <v>813005241</v>
      </c>
      <c r="J9" s="13" t="s">
        <v>404</v>
      </c>
      <c r="K9" s="14">
        <v>48</v>
      </c>
      <c r="L9" s="15" t="s">
        <v>250</v>
      </c>
      <c r="M9" s="16">
        <v>43200</v>
      </c>
      <c r="N9" s="16">
        <v>0</v>
      </c>
      <c r="O9" s="16">
        <f t="shared" ref="O9" si="2">K9*M9</f>
        <v>2073600</v>
      </c>
      <c r="P9" s="14" t="s">
        <v>1383</v>
      </c>
    </row>
    <row r="10" spans="1:16" x14ac:dyDescent="0.3">
      <c r="A10" s="8" t="s">
        <v>407</v>
      </c>
      <c r="B10" s="9" t="s">
        <v>481</v>
      </c>
      <c r="C10" s="10" t="s">
        <v>1226</v>
      </c>
      <c r="D10" s="11">
        <v>44018</v>
      </c>
      <c r="E10" s="11">
        <v>44020</v>
      </c>
      <c r="F10" s="31">
        <v>6257500</v>
      </c>
      <c r="G10" s="32">
        <v>0</v>
      </c>
      <c r="H10" s="8" t="s">
        <v>482</v>
      </c>
      <c r="I10" s="12">
        <v>80748897</v>
      </c>
      <c r="J10" s="13" t="s">
        <v>1381</v>
      </c>
      <c r="K10" s="14">
        <v>42</v>
      </c>
      <c r="L10" s="15" t="s">
        <v>250</v>
      </c>
      <c r="M10" s="16">
        <v>125000</v>
      </c>
      <c r="N10" s="16">
        <f>M10*0.19</f>
        <v>23750</v>
      </c>
      <c r="O10" s="16">
        <f t="shared" ref="O10:O12" si="3">K10*(M10+N10)</f>
        <v>6247500</v>
      </c>
      <c r="P10" s="14" t="s">
        <v>1383</v>
      </c>
    </row>
    <row r="11" spans="1:16" x14ac:dyDescent="0.3">
      <c r="A11" s="8" t="s">
        <v>407</v>
      </c>
      <c r="B11" s="9" t="s">
        <v>485</v>
      </c>
      <c r="C11" s="10" t="s">
        <v>487</v>
      </c>
      <c r="D11" s="11">
        <v>44036</v>
      </c>
      <c r="E11" s="11">
        <v>44036</v>
      </c>
      <c r="F11" s="31">
        <v>8400000</v>
      </c>
      <c r="G11" s="32">
        <v>0</v>
      </c>
      <c r="H11" s="8" t="s">
        <v>486</v>
      </c>
      <c r="I11" s="12">
        <v>10003534</v>
      </c>
      <c r="J11" s="13" t="s">
        <v>1382</v>
      </c>
      <c r="K11" s="14">
        <v>100</v>
      </c>
      <c r="L11" s="15" t="s">
        <v>250</v>
      </c>
      <c r="M11" s="16">
        <v>72000</v>
      </c>
      <c r="N11" s="16">
        <v>0</v>
      </c>
      <c r="O11" s="16">
        <f t="shared" si="3"/>
        <v>7200000</v>
      </c>
      <c r="P11" s="14" t="s">
        <v>1383</v>
      </c>
    </row>
    <row r="12" spans="1:16" x14ac:dyDescent="0.3">
      <c r="A12" s="8" t="s">
        <v>490</v>
      </c>
      <c r="B12" s="9" t="s">
        <v>491</v>
      </c>
      <c r="C12" s="10" t="s">
        <v>492</v>
      </c>
      <c r="D12" s="11">
        <v>43959</v>
      </c>
      <c r="E12" s="11">
        <v>43963</v>
      </c>
      <c r="F12" s="31">
        <v>36164900</v>
      </c>
      <c r="G12" s="32">
        <v>0</v>
      </c>
      <c r="H12" s="8" t="s">
        <v>493</v>
      </c>
      <c r="I12" s="12">
        <v>900429897</v>
      </c>
      <c r="J12" s="13" t="s">
        <v>537</v>
      </c>
      <c r="K12" s="14">
        <v>1335</v>
      </c>
      <c r="L12" s="15" t="s">
        <v>250</v>
      </c>
      <c r="M12" s="16">
        <v>10000</v>
      </c>
      <c r="N12" s="16">
        <v>0</v>
      </c>
      <c r="O12" s="16">
        <f t="shared" si="3"/>
        <v>13350000</v>
      </c>
      <c r="P12" s="14" t="s">
        <v>1383</v>
      </c>
    </row>
    <row r="13" spans="1:16" x14ac:dyDescent="0.3">
      <c r="A13" s="8" t="s">
        <v>544</v>
      </c>
      <c r="B13" s="9" t="s">
        <v>587</v>
      </c>
      <c r="C13" s="10" t="s">
        <v>588</v>
      </c>
      <c r="D13" s="11">
        <v>43984</v>
      </c>
      <c r="E13" s="11">
        <v>43984</v>
      </c>
      <c r="F13" s="31">
        <v>4000000</v>
      </c>
      <c r="G13" s="32">
        <v>0</v>
      </c>
      <c r="H13" s="8" t="s">
        <v>589</v>
      </c>
      <c r="I13" s="12">
        <v>901059820</v>
      </c>
      <c r="J13" s="13" t="s">
        <v>590</v>
      </c>
      <c r="K13" s="14">
        <v>22</v>
      </c>
      <c r="L13" s="15" t="s">
        <v>250</v>
      </c>
      <c r="M13" s="16">
        <v>134453.78</v>
      </c>
      <c r="N13" s="16">
        <f t="shared" ref="N13" si="4">M13*0.19</f>
        <v>25546.218199999999</v>
      </c>
      <c r="O13" s="16">
        <f t="shared" ref="O13:O33" si="5">K13*(M13+N13)</f>
        <v>3519999.9604000002</v>
      </c>
      <c r="P13" s="14" t="s">
        <v>1383</v>
      </c>
    </row>
    <row r="14" spans="1:16" x14ac:dyDescent="0.3">
      <c r="A14" s="8" t="s">
        <v>623</v>
      </c>
      <c r="B14" s="9" t="s">
        <v>651</v>
      </c>
      <c r="C14" s="10" t="s">
        <v>645</v>
      </c>
      <c r="D14" s="11">
        <v>43971</v>
      </c>
      <c r="E14" s="11">
        <v>43978</v>
      </c>
      <c r="F14" s="31">
        <v>9683640</v>
      </c>
      <c r="G14" s="32">
        <v>0</v>
      </c>
      <c r="H14" s="8" t="s">
        <v>652</v>
      </c>
      <c r="I14" s="12">
        <v>830094214</v>
      </c>
      <c r="J14" s="13" t="s">
        <v>654</v>
      </c>
      <c r="K14" s="14">
        <v>40</v>
      </c>
      <c r="L14" s="15" t="s">
        <v>250</v>
      </c>
      <c r="M14" s="16">
        <v>76666</v>
      </c>
      <c r="N14" s="16">
        <v>0</v>
      </c>
      <c r="O14" s="16">
        <f t="shared" si="5"/>
        <v>3066640</v>
      </c>
      <c r="P14" s="14" t="s">
        <v>1383</v>
      </c>
    </row>
    <row r="15" spans="1:16" x14ac:dyDescent="0.3">
      <c r="A15" s="8" t="s">
        <v>623</v>
      </c>
      <c r="B15" s="9" t="s">
        <v>651</v>
      </c>
      <c r="C15" s="10" t="s">
        <v>645</v>
      </c>
      <c r="D15" s="11">
        <v>43971</v>
      </c>
      <c r="E15" s="11">
        <v>43978</v>
      </c>
      <c r="F15" s="31">
        <v>9683640</v>
      </c>
      <c r="G15" s="32">
        <v>0</v>
      </c>
      <c r="H15" s="8" t="s">
        <v>652</v>
      </c>
      <c r="I15" s="12">
        <v>830094214</v>
      </c>
      <c r="J15" s="13" t="s">
        <v>655</v>
      </c>
      <c r="K15" s="14">
        <v>40</v>
      </c>
      <c r="L15" s="15" t="s">
        <v>250</v>
      </c>
      <c r="M15" s="16">
        <v>50000</v>
      </c>
      <c r="N15" s="16">
        <v>0</v>
      </c>
      <c r="O15" s="16">
        <f t="shared" si="5"/>
        <v>2000000</v>
      </c>
      <c r="P15" s="14" t="s">
        <v>1383</v>
      </c>
    </row>
    <row r="16" spans="1:16" x14ac:dyDescent="0.3">
      <c r="A16" s="8" t="s">
        <v>623</v>
      </c>
      <c r="B16" s="9" t="s">
        <v>656</v>
      </c>
      <c r="C16" s="10" t="s">
        <v>645</v>
      </c>
      <c r="D16" s="11">
        <v>43973</v>
      </c>
      <c r="E16" s="11">
        <v>43978</v>
      </c>
      <c r="F16" s="31">
        <v>9978900</v>
      </c>
      <c r="G16" s="32">
        <v>0</v>
      </c>
      <c r="H16" s="8" t="s">
        <v>657</v>
      </c>
      <c r="I16" s="12">
        <v>900347045</v>
      </c>
      <c r="J16" s="13" t="s">
        <v>659</v>
      </c>
      <c r="K16" s="14">
        <v>16</v>
      </c>
      <c r="L16" s="15" t="s">
        <v>250</v>
      </c>
      <c r="M16" s="16">
        <v>117226.8907</v>
      </c>
      <c r="N16" s="16">
        <f>M16*0.19</f>
        <v>22273.109232999999</v>
      </c>
      <c r="O16" s="16">
        <f t="shared" si="5"/>
        <v>2231999.9989280002</v>
      </c>
      <c r="P16" s="14" t="s">
        <v>1383</v>
      </c>
    </row>
    <row r="17" spans="1:16" x14ac:dyDescent="0.3">
      <c r="A17" s="8" t="s">
        <v>623</v>
      </c>
      <c r="B17" s="9" t="s">
        <v>677</v>
      </c>
      <c r="C17" s="10" t="s">
        <v>661</v>
      </c>
      <c r="D17" s="11">
        <v>43983</v>
      </c>
      <c r="E17" s="11">
        <v>43990</v>
      </c>
      <c r="F17" s="31">
        <v>6288000</v>
      </c>
      <c r="G17" s="32">
        <v>0</v>
      </c>
      <c r="H17" s="8" t="s">
        <v>678</v>
      </c>
      <c r="I17" s="12">
        <v>900305563</v>
      </c>
      <c r="J17" s="13" t="s">
        <v>679</v>
      </c>
      <c r="K17" s="14">
        <v>32</v>
      </c>
      <c r="L17" s="15" t="s">
        <v>250</v>
      </c>
      <c r="M17" s="16">
        <v>165126.05042000001</v>
      </c>
      <c r="N17" s="16">
        <f>M17*0.19</f>
        <v>31373.949579800003</v>
      </c>
      <c r="O17" s="16">
        <f t="shared" si="5"/>
        <v>6287999.9999936009</v>
      </c>
      <c r="P17" s="14" t="s">
        <v>1383</v>
      </c>
    </row>
    <row r="18" spans="1:16" x14ac:dyDescent="0.3">
      <c r="A18" s="8" t="s">
        <v>693</v>
      </c>
      <c r="B18" s="9" t="s">
        <v>714</v>
      </c>
      <c r="C18" s="10" t="s">
        <v>712</v>
      </c>
      <c r="D18" s="11">
        <v>43985</v>
      </c>
      <c r="E18" s="11">
        <v>43986</v>
      </c>
      <c r="F18" s="31">
        <v>44570660</v>
      </c>
      <c r="G18" s="32">
        <v>0</v>
      </c>
      <c r="H18" s="8" t="s">
        <v>715</v>
      </c>
      <c r="I18" s="12">
        <v>900155107</v>
      </c>
      <c r="J18" s="13" t="s">
        <v>717</v>
      </c>
      <c r="K18" s="14">
        <v>57</v>
      </c>
      <c r="L18" s="15" t="s">
        <v>250</v>
      </c>
      <c r="M18" s="16">
        <v>130000</v>
      </c>
      <c r="N18" s="16">
        <v>0</v>
      </c>
      <c r="O18" s="16">
        <f t="shared" si="5"/>
        <v>7410000</v>
      </c>
      <c r="P18" s="14" t="s">
        <v>1383</v>
      </c>
    </row>
    <row r="19" spans="1:16" x14ac:dyDescent="0.3">
      <c r="A19" s="8" t="s">
        <v>728</v>
      </c>
      <c r="B19" s="9">
        <v>1491804</v>
      </c>
      <c r="C19" s="10" t="s">
        <v>734</v>
      </c>
      <c r="D19" s="11">
        <v>43927</v>
      </c>
      <c r="E19" s="11">
        <v>43928</v>
      </c>
      <c r="F19" s="31">
        <v>82970740</v>
      </c>
      <c r="G19" s="32">
        <v>0</v>
      </c>
      <c r="H19" s="8" t="s">
        <v>735</v>
      </c>
      <c r="I19" s="12">
        <v>59311027</v>
      </c>
      <c r="J19" s="13" t="s">
        <v>737</v>
      </c>
      <c r="K19" s="14">
        <v>168</v>
      </c>
      <c r="L19" s="15" t="s">
        <v>250</v>
      </c>
      <c r="M19" s="16">
        <v>94500</v>
      </c>
      <c r="N19" s="16">
        <v>0</v>
      </c>
      <c r="O19" s="16">
        <f t="shared" si="5"/>
        <v>15876000</v>
      </c>
      <c r="P19" s="14" t="s">
        <v>1383</v>
      </c>
    </row>
    <row r="20" spans="1:16" x14ac:dyDescent="0.3">
      <c r="A20" s="8" t="s">
        <v>728</v>
      </c>
      <c r="B20" s="9">
        <v>1491804</v>
      </c>
      <c r="C20" s="10" t="s">
        <v>734</v>
      </c>
      <c r="D20" s="11">
        <v>43927</v>
      </c>
      <c r="E20" s="11">
        <v>43928</v>
      </c>
      <c r="F20" s="31">
        <v>82970740</v>
      </c>
      <c r="G20" s="32">
        <v>0</v>
      </c>
      <c r="H20" s="8" t="s">
        <v>735</v>
      </c>
      <c r="I20" s="12">
        <v>59311027</v>
      </c>
      <c r="J20" s="13" t="s">
        <v>738</v>
      </c>
      <c r="K20" s="14">
        <v>60</v>
      </c>
      <c r="L20" s="15" t="s">
        <v>250</v>
      </c>
      <c r="M20" s="16">
        <v>54500</v>
      </c>
      <c r="N20" s="16">
        <v>0</v>
      </c>
      <c r="O20" s="16">
        <f t="shared" si="5"/>
        <v>3270000</v>
      </c>
      <c r="P20" s="14" t="s">
        <v>1383</v>
      </c>
    </row>
    <row r="21" spans="1:16" x14ac:dyDescent="0.3">
      <c r="A21" s="8" t="s">
        <v>728</v>
      </c>
      <c r="B21" s="9">
        <v>1491804</v>
      </c>
      <c r="C21" s="10" t="s">
        <v>734</v>
      </c>
      <c r="D21" s="11">
        <v>43927</v>
      </c>
      <c r="E21" s="11">
        <v>43928</v>
      </c>
      <c r="F21" s="31">
        <v>82970740</v>
      </c>
      <c r="G21" s="32">
        <v>0</v>
      </c>
      <c r="H21" s="8" t="s">
        <v>735</v>
      </c>
      <c r="I21" s="12">
        <v>59311027</v>
      </c>
      <c r="J21" s="13" t="s">
        <v>739</v>
      </c>
      <c r="K21" s="14">
        <v>120</v>
      </c>
      <c r="L21" s="15" t="s">
        <v>250</v>
      </c>
      <c r="M21" s="16">
        <v>195782</v>
      </c>
      <c r="N21" s="16">
        <v>0</v>
      </c>
      <c r="O21" s="16">
        <f t="shared" si="5"/>
        <v>23493840</v>
      </c>
      <c r="P21" s="14" t="s">
        <v>1383</v>
      </c>
    </row>
    <row r="22" spans="1:16" x14ac:dyDescent="0.3">
      <c r="A22" s="8" t="s">
        <v>728</v>
      </c>
      <c r="B22" s="9">
        <v>1491804</v>
      </c>
      <c r="C22" s="10" t="s">
        <v>734</v>
      </c>
      <c r="D22" s="11">
        <v>43927</v>
      </c>
      <c r="E22" s="11">
        <v>43928</v>
      </c>
      <c r="F22" s="31">
        <v>0</v>
      </c>
      <c r="G22" s="32">
        <v>39472098</v>
      </c>
      <c r="H22" s="8" t="s">
        <v>735</v>
      </c>
      <c r="I22" s="12">
        <v>59311027</v>
      </c>
      <c r="J22" s="13" t="s">
        <v>737</v>
      </c>
      <c r="K22" s="14">
        <v>66</v>
      </c>
      <c r="L22" s="15" t="s">
        <v>250</v>
      </c>
      <c r="M22" s="16">
        <v>94500</v>
      </c>
      <c r="N22" s="16">
        <v>0</v>
      </c>
      <c r="O22" s="16">
        <f t="shared" si="5"/>
        <v>6237000</v>
      </c>
      <c r="P22" s="14" t="s">
        <v>1383</v>
      </c>
    </row>
    <row r="23" spans="1:16" x14ac:dyDescent="0.3">
      <c r="A23" s="8" t="s">
        <v>728</v>
      </c>
      <c r="B23" s="9">
        <v>1491804</v>
      </c>
      <c r="C23" s="10" t="s">
        <v>734</v>
      </c>
      <c r="D23" s="11">
        <v>43927</v>
      </c>
      <c r="E23" s="11">
        <v>43928</v>
      </c>
      <c r="F23" s="31">
        <v>0</v>
      </c>
      <c r="G23" s="32">
        <v>39472098</v>
      </c>
      <c r="H23" s="8" t="s">
        <v>735</v>
      </c>
      <c r="I23" s="12">
        <v>59311027</v>
      </c>
      <c r="J23" s="13" t="s">
        <v>738</v>
      </c>
      <c r="K23" s="14">
        <v>49</v>
      </c>
      <c r="L23" s="15" t="s">
        <v>250</v>
      </c>
      <c r="M23" s="16">
        <v>54500</v>
      </c>
      <c r="N23" s="16">
        <v>0</v>
      </c>
      <c r="O23" s="16">
        <f t="shared" si="5"/>
        <v>2670500</v>
      </c>
      <c r="P23" s="14" t="s">
        <v>1383</v>
      </c>
    </row>
    <row r="24" spans="1:16" x14ac:dyDescent="0.3">
      <c r="A24" s="8" t="s">
        <v>728</v>
      </c>
      <c r="B24" s="9">
        <v>1491804</v>
      </c>
      <c r="C24" s="10" t="s">
        <v>734</v>
      </c>
      <c r="D24" s="11">
        <v>43927</v>
      </c>
      <c r="E24" s="11">
        <v>43928</v>
      </c>
      <c r="F24" s="31">
        <v>0</v>
      </c>
      <c r="G24" s="32">
        <v>39472098</v>
      </c>
      <c r="H24" s="8" t="s">
        <v>735</v>
      </c>
      <c r="I24" s="12">
        <v>59311027</v>
      </c>
      <c r="J24" s="13" t="s">
        <v>739</v>
      </c>
      <c r="K24" s="14">
        <v>89</v>
      </c>
      <c r="L24" s="15" t="s">
        <v>250</v>
      </c>
      <c r="M24" s="16">
        <v>195782</v>
      </c>
      <c r="N24" s="16">
        <v>0</v>
      </c>
      <c r="O24" s="16">
        <f t="shared" si="5"/>
        <v>17424598</v>
      </c>
      <c r="P24" s="14" t="s">
        <v>1383</v>
      </c>
    </row>
    <row r="25" spans="1:16" x14ac:dyDescent="0.3">
      <c r="A25" s="8" t="s">
        <v>1231</v>
      </c>
      <c r="B25" s="9" t="s">
        <v>1232</v>
      </c>
      <c r="C25" s="17" t="s">
        <v>1233</v>
      </c>
      <c r="D25" s="11">
        <v>43915</v>
      </c>
      <c r="E25" s="11">
        <v>43916</v>
      </c>
      <c r="F25" s="31">
        <v>79231499</v>
      </c>
      <c r="G25" s="32">
        <v>0</v>
      </c>
      <c r="H25" s="8" t="s">
        <v>1234</v>
      </c>
      <c r="I25" s="12">
        <v>900916649</v>
      </c>
      <c r="J25" s="13" t="s">
        <v>1236</v>
      </c>
      <c r="K25" s="14">
        <v>37</v>
      </c>
      <c r="L25" s="15" t="s">
        <v>250</v>
      </c>
      <c r="M25" s="16">
        <v>157563</v>
      </c>
      <c r="N25" s="16">
        <f>M25*0.19</f>
        <v>29936.97</v>
      </c>
      <c r="O25" s="16">
        <f t="shared" si="5"/>
        <v>6937498.8899999997</v>
      </c>
      <c r="P25" s="14" t="s">
        <v>1383</v>
      </c>
    </row>
    <row r="26" spans="1:16" x14ac:dyDescent="0.3">
      <c r="A26" s="8" t="s">
        <v>1231</v>
      </c>
      <c r="B26" s="9" t="s">
        <v>1232</v>
      </c>
      <c r="C26" s="17" t="s">
        <v>1233</v>
      </c>
      <c r="D26" s="11">
        <v>43915</v>
      </c>
      <c r="E26" s="11">
        <v>43916</v>
      </c>
      <c r="F26" s="31">
        <v>79231499</v>
      </c>
      <c r="G26" s="32">
        <v>0</v>
      </c>
      <c r="H26" s="8" t="s">
        <v>1234</v>
      </c>
      <c r="I26" s="12">
        <v>900916649</v>
      </c>
      <c r="J26" s="13" t="s">
        <v>1237</v>
      </c>
      <c r="K26" s="14">
        <v>50</v>
      </c>
      <c r="L26" s="15" t="s">
        <v>250</v>
      </c>
      <c r="M26" s="16">
        <v>87500</v>
      </c>
      <c r="N26" s="16">
        <f>M26*0.19</f>
        <v>16625</v>
      </c>
      <c r="O26" s="16">
        <f t="shared" si="5"/>
        <v>5206250</v>
      </c>
      <c r="P26" s="14" t="s">
        <v>1383</v>
      </c>
    </row>
    <row r="27" spans="1:16" x14ac:dyDescent="0.3">
      <c r="A27" s="8" t="s">
        <v>885</v>
      </c>
      <c r="B27" s="9" t="s">
        <v>909</v>
      </c>
      <c r="C27" s="17" t="s">
        <v>910</v>
      </c>
      <c r="D27" s="11">
        <v>43917</v>
      </c>
      <c r="E27" s="11">
        <v>43910</v>
      </c>
      <c r="F27" s="31">
        <v>1911550</v>
      </c>
      <c r="G27" s="32">
        <v>0</v>
      </c>
      <c r="H27" s="8" t="s">
        <v>911</v>
      </c>
      <c r="I27" s="12">
        <v>12109146</v>
      </c>
      <c r="J27" s="13" t="s">
        <v>912</v>
      </c>
      <c r="K27" s="14">
        <v>3</v>
      </c>
      <c r="L27" s="15" t="s">
        <v>250</v>
      </c>
      <c r="M27" s="16">
        <v>62899.159663865546</v>
      </c>
      <c r="N27" s="16">
        <f t="shared" ref="N27" si="6">M27*0.19</f>
        <v>11950.840336134454</v>
      </c>
      <c r="O27" s="16">
        <f t="shared" si="5"/>
        <v>224550</v>
      </c>
      <c r="P27" s="14" t="s">
        <v>1383</v>
      </c>
    </row>
    <row r="28" spans="1:16" x14ac:dyDescent="0.3">
      <c r="A28" s="8" t="s">
        <v>885</v>
      </c>
      <c r="B28" s="9">
        <v>49450</v>
      </c>
      <c r="C28" s="17" t="s">
        <v>954</v>
      </c>
      <c r="D28" s="11">
        <v>43980</v>
      </c>
      <c r="E28" s="11">
        <v>43980</v>
      </c>
      <c r="F28" s="31">
        <v>10400000</v>
      </c>
      <c r="G28" s="32">
        <v>0</v>
      </c>
      <c r="H28" s="8" t="s">
        <v>368</v>
      </c>
      <c r="I28" s="12">
        <v>900155107</v>
      </c>
      <c r="J28" s="13" t="s">
        <v>955</v>
      </c>
      <c r="K28" s="14">
        <v>80</v>
      </c>
      <c r="L28" s="15" t="s">
        <v>250</v>
      </c>
      <c r="M28" s="16">
        <v>130000</v>
      </c>
      <c r="N28" s="16">
        <v>0</v>
      </c>
      <c r="O28" s="16">
        <f t="shared" si="5"/>
        <v>10400000</v>
      </c>
      <c r="P28" s="14" t="s">
        <v>1383</v>
      </c>
    </row>
    <row r="29" spans="1:16" x14ac:dyDescent="0.3">
      <c r="A29" s="8" t="s">
        <v>976</v>
      </c>
      <c r="B29" s="9" t="s">
        <v>1005</v>
      </c>
      <c r="C29" s="10" t="s">
        <v>1006</v>
      </c>
      <c r="D29" s="11">
        <v>43990</v>
      </c>
      <c r="E29" s="11">
        <v>43990</v>
      </c>
      <c r="F29" s="31">
        <v>2909550</v>
      </c>
      <c r="G29" s="32">
        <v>0</v>
      </c>
      <c r="H29" s="8" t="s">
        <v>1007</v>
      </c>
      <c r="I29" s="12">
        <v>22866793</v>
      </c>
      <c r="J29" s="13" t="s">
        <v>1008</v>
      </c>
      <c r="K29" s="14">
        <v>15</v>
      </c>
      <c r="L29" s="15" t="s">
        <v>250</v>
      </c>
      <c r="M29" s="16">
        <v>163000</v>
      </c>
      <c r="N29" s="16">
        <f>M29*0.19</f>
        <v>30970</v>
      </c>
      <c r="O29" s="16">
        <f t="shared" si="5"/>
        <v>2909550</v>
      </c>
      <c r="P29" s="14" t="s">
        <v>1383</v>
      </c>
    </row>
    <row r="30" spans="1:16" x14ac:dyDescent="0.3">
      <c r="A30" s="8" t="s">
        <v>1055</v>
      </c>
      <c r="B30" s="9" t="s">
        <v>1059</v>
      </c>
      <c r="C30" s="10" t="s">
        <v>1060</v>
      </c>
      <c r="D30" s="11">
        <v>43909</v>
      </c>
      <c r="E30" s="11">
        <v>43909</v>
      </c>
      <c r="F30" s="31">
        <v>29028000</v>
      </c>
      <c r="G30" s="32">
        <v>0</v>
      </c>
      <c r="H30" s="8" t="s">
        <v>1061</v>
      </c>
      <c r="I30" s="12">
        <v>900837029</v>
      </c>
      <c r="J30" s="13" t="s">
        <v>1062</v>
      </c>
      <c r="K30" s="14">
        <v>100</v>
      </c>
      <c r="L30" s="15" t="s">
        <v>250</v>
      </c>
      <c r="M30" s="16">
        <v>60000</v>
      </c>
      <c r="N30" s="16">
        <f t="shared" ref="N30" si="7">M30*0.19</f>
        <v>11400</v>
      </c>
      <c r="O30" s="16">
        <f t="shared" si="5"/>
        <v>7140000</v>
      </c>
      <c r="P30" s="14" t="s">
        <v>1383</v>
      </c>
    </row>
    <row r="31" spans="1:16" x14ac:dyDescent="0.3">
      <c r="A31" s="8" t="s">
        <v>1055</v>
      </c>
      <c r="B31" s="9" t="s">
        <v>1085</v>
      </c>
      <c r="C31" s="10" t="s">
        <v>1086</v>
      </c>
      <c r="D31" s="11">
        <v>43985</v>
      </c>
      <c r="E31" s="11">
        <v>43985</v>
      </c>
      <c r="F31" s="31">
        <v>2231250</v>
      </c>
      <c r="G31" s="32">
        <v>0</v>
      </c>
      <c r="H31" s="8" t="s">
        <v>1087</v>
      </c>
      <c r="I31" s="12">
        <v>900112885</v>
      </c>
      <c r="J31" s="13" t="s">
        <v>1088</v>
      </c>
      <c r="K31" s="14">
        <v>15</v>
      </c>
      <c r="L31" s="15" t="s">
        <v>250</v>
      </c>
      <c r="M31" s="16">
        <v>125000</v>
      </c>
      <c r="N31" s="16">
        <f>M31*0.19</f>
        <v>23750</v>
      </c>
      <c r="O31" s="16">
        <f t="shared" si="5"/>
        <v>2231250</v>
      </c>
      <c r="P31" s="14" t="s">
        <v>1383</v>
      </c>
    </row>
    <row r="32" spans="1:16" x14ac:dyDescent="0.3">
      <c r="A32" s="8" t="s">
        <v>1115</v>
      </c>
      <c r="B32" s="9" t="s">
        <v>1157</v>
      </c>
      <c r="C32" s="10" t="s">
        <v>1229</v>
      </c>
      <c r="D32" s="11">
        <v>44018</v>
      </c>
      <c r="E32" s="11">
        <v>44018</v>
      </c>
      <c r="F32" s="31">
        <v>24633605</v>
      </c>
      <c r="G32" s="32">
        <v>0</v>
      </c>
      <c r="H32" s="8" t="s">
        <v>1158</v>
      </c>
      <c r="I32" s="12">
        <v>890900943</v>
      </c>
      <c r="J32" s="13" t="s">
        <v>1159</v>
      </c>
      <c r="K32" s="14">
        <v>95</v>
      </c>
      <c r="L32" s="15" t="s">
        <v>250</v>
      </c>
      <c r="M32" s="16">
        <v>252339</v>
      </c>
      <c r="N32" s="16">
        <v>0</v>
      </c>
      <c r="O32" s="16">
        <f t="shared" si="5"/>
        <v>23972205</v>
      </c>
      <c r="P32" s="14" t="s">
        <v>1383</v>
      </c>
    </row>
    <row r="33" spans="1:16" x14ac:dyDescent="0.3">
      <c r="A33" s="8" t="s">
        <v>1161</v>
      </c>
      <c r="B33" s="9" t="s">
        <v>1191</v>
      </c>
      <c r="C33" s="10" t="s">
        <v>1192</v>
      </c>
      <c r="D33" s="11">
        <v>43986</v>
      </c>
      <c r="E33" s="11">
        <v>43986</v>
      </c>
      <c r="F33" s="31">
        <v>1560000</v>
      </c>
      <c r="G33" s="32">
        <v>0</v>
      </c>
      <c r="H33" s="8" t="s">
        <v>1193</v>
      </c>
      <c r="I33" s="12">
        <v>900346622</v>
      </c>
      <c r="J33" s="13" t="s">
        <v>1379</v>
      </c>
      <c r="K33" s="14">
        <v>30</v>
      </c>
      <c r="L33" s="15" t="s">
        <v>250</v>
      </c>
      <c r="M33" s="16">
        <v>52000</v>
      </c>
      <c r="N33" s="16">
        <v>0</v>
      </c>
      <c r="O33" s="16">
        <f t="shared" si="5"/>
        <v>1560000</v>
      </c>
      <c r="P33" s="14" t="s">
        <v>1383</v>
      </c>
    </row>
  </sheetData>
  <dataValidations count="12">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B5:B8 B10:B11 B13:B16 B25:B26 B2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H5:H8 H10:H16 H30:H31 H3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I6:I7 I11:I16 I25 I30:I31 I3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13 A25:A26 A29 A3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5:F6 F11 F13:F16 F3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 E5:E7 E11 E13:E16 E25 E30 D32:I32 A32:B32 E3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D5:D7 D10:E10 D11 D12:E12 D13:D16 D25:D26 D28:E28 D29:D30 D3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5 I7">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8 D17:E24 D27:E27 D31:E3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9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0 F31">
      <formula1>-9223372036854770000</formula1>
      <formula2>9223372036854770000</formula2>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J1" workbookViewId="0">
      <selection activeCell="O8" sqref="O8"/>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76</v>
      </c>
      <c r="C2" s="10" t="s">
        <v>77</v>
      </c>
      <c r="D2" s="11">
        <v>44029</v>
      </c>
      <c r="E2" s="11">
        <v>44039</v>
      </c>
      <c r="F2" s="31">
        <v>17828727</v>
      </c>
      <c r="G2" s="32">
        <v>0</v>
      </c>
      <c r="H2" s="8" t="s">
        <v>78</v>
      </c>
      <c r="I2" s="12">
        <v>1030574087</v>
      </c>
      <c r="J2" s="13" t="s">
        <v>79</v>
      </c>
      <c r="K2" s="14">
        <v>60</v>
      </c>
      <c r="L2" s="15" t="s">
        <v>250</v>
      </c>
      <c r="M2" s="16">
        <v>297145.45</v>
      </c>
      <c r="N2" s="16">
        <v>0</v>
      </c>
      <c r="O2" s="16">
        <f t="shared" ref="O2:O7" si="0">K2*(M2+N2)</f>
        <v>17828727</v>
      </c>
      <c r="P2" s="14" t="s">
        <v>1285</v>
      </c>
    </row>
    <row r="3" spans="1:16" x14ac:dyDescent="0.3">
      <c r="A3" s="8" t="s">
        <v>544</v>
      </c>
      <c r="B3" s="9" t="s">
        <v>592</v>
      </c>
      <c r="C3" s="10" t="s">
        <v>593</v>
      </c>
      <c r="D3" s="11">
        <v>43986</v>
      </c>
      <c r="E3" s="11">
        <v>43986</v>
      </c>
      <c r="F3" s="31">
        <v>39927000</v>
      </c>
      <c r="G3" s="32">
        <v>0</v>
      </c>
      <c r="H3" s="8" t="s">
        <v>594</v>
      </c>
      <c r="I3" s="12">
        <v>901031972</v>
      </c>
      <c r="J3" s="13" t="s">
        <v>595</v>
      </c>
      <c r="K3" s="14">
        <v>50</v>
      </c>
      <c r="L3" s="15" t="s">
        <v>250</v>
      </c>
      <c r="M3" s="16">
        <v>300000</v>
      </c>
      <c r="N3" s="16">
        <f t="shared" ref="N3" si="1">M3*0.19</f>
        <v>57000</v>
      </c>
      <c r="O3" s="16">
        <f t="shared" si="0"/>
        <v>17850000</v>
      </c>
      <c r="P3" s="14" t="s">
        <v>1285</v>
      </c>
    </row>
    <row r="4" spans="1:16" x14ac:dyDescent="0.3">
      <c r="A4" s="8" t="s">
        <v>728</v>
      </c>
      <c r="B4" s="9">
        <v>1619602</v>
      </c>
      <c r="C4" s="10" t="s">
        <v>768</v>
      </c>
      <c r="D4" s="11">
        <v>43990</v>
      </c>
      <c r="E4" s="11">
        <v>43992</v>
      </c>
      <c r="F4" s="31">
        <v>57691400</v>
      </c>
      <c r="G4" s="32">
        <v>0</v>
      </c>
      <c r="H4" s="8" t="s">
        <v>769</v>
      </c>
      <c r="I4" s="12">
        <v>830014921</v>
      </c>
      <c r="J4" s="13" t="s">
        <v>770</v>
      </c>
      <c r="K4" s="14">
        <v>44.9</v>
      </c>
      <c r="L4" s="15" t="s">
        <v>771</v>
      </c>
      <c r="M4" s="16">
        <v>450000</v>
      </c>
      <c r="N4" s="16">
        <v>0</v>
      </c>
      <c r="O4" s="16">
        <f t="shared" si="0"/>
        <v>20205000</v>
      </c>
      <c r="P4" s="14" t="s">
        <v>1285</v>
      </c>
    </row>
    <row r="5" spans="1:16" x14ac:dyDescent="0.3">
      <c r="A5" s="8" t="s">
        <v>728</v>
      </c>
      <c r="B5" s="9">
        <v>1619602</v>
      </c>
      <c r="C5" s="10" t="s">
        <v>768</v>
      </c>
      <c r="D5" s="11">
        <v>43990</v>
      </c>
      <c r="E5" s="11">
        <v>43992</v>
      </c>
      <c r="F5" s="31">
        <v>57691400</v>
      </c>
      <c r="G5" s="32">
        <v>0</v>
      </c>
      <c r="H5" s="8" t="s">
        <v>769</v>
      </c>
      <c r="I5" s="12">
        <v>830014921</v>
      </c>
      <c r="J5" s="13" t="s">
        <v>772</v>
      </c>
      <c r="K5" s="14">
        <v>107.6</v>
      </c>
      <c r="L5" s="15" t="s">
        <v>771</v>
      </c>
      <c r="M5" s="16">
        <v>189000</v>
      </c>
      <c r="N5" s="16">
        <v>0</v>
      </c>
      <c r="O5" s="16">
        <f t="shared" si="0"/>
        <v>20336400</v>
      </c>
      <c r="P5" s="14" t="s">
        <v>1285</v>
      </c>
    </row>
    <row r="6" spans="1:16" x14ac:dyDescent="0.3">
      <c r="A6" s="8" t="s">
        <v>728</v>
      </c>
      <c r="B6" s="9">
        <v>1619602</v>
      </c>
      <c r="C6" s="10" t="s">
        <v>768</v>
      </c>
      <c r="D6" s="11">
        <v>43990</v>
      </c>
      <c r="E6" s="11">
        <v>43992</v>
      </c>
      <c r="F6" s="31">
        <v>0</v>
      </c>
      <c r="G6" s="32">
        <v>14563079</v>
      </c>
      <c r="H6" s="8" t="s">
        <v>769</v>
      </c>
      <c r="I6" s="12">
        <v>830014921</v>
      </c>
      <c r="J6" s="13" t="s">
        <v>770</v>
      </c>
      <c r="K6" s="14">
        <v>32.362397780000002</v>
      </c>
      <c r="L6" s="15" t="s">
        <v>771</v>
      </c>
      <c r="M6" s="16">
        <v>450000</v>
      </c>
      <c r="N6" s="16">
        <v>0</v>
      </c>
      <c r="O6" s="16">
        <f t="shared" si="0"/>
        <v>14563079.001</v>
      </c>
      <c r="P6" s="14" t="s">
        <v>1285</v>
      </c>
    </row>
    <row r="7" spans="1:16" x14ac:dyDescent="0.3">
      <c r="A7" s="8" t="s">
        <v>885</v>
      </c>
      <c r="B7" s="9" t="s">
        <v>899</v>
      </c>
      <c r="C7" s="17" t="s">
        <v>900</v>
      </c>
      <c r="D7" s="11">
        <v>44005</v>
      </c>
      <c r="E7" s="11">
        <v>44005</v>
      </c>
      <c r="F7" s="31">
        <v>32130000</v>
      </c>
      <c r="G7" s="32">
        <v>0</v>
      </c>
      <c r="H7" s="8" t="s">
        <v>901</v>
      </c>
      <c r="I7" s="12">
        <v>79391917</v>
      </c>
      <c r="J7" s="13" t="s">
        <v>902</v>
      </c>
      <c r="K7" s="14">
        <v>200</v>
      </c>
      <c r="L7" s="15" t="s">
        <v>250</v>
      </c>
      <c r="M7" s="16">
        <v>135000</v>
      </c>
      <c r="N7" s="16">
        <f>M7*0.19</f>
        <v>25650</v>
      </c>
      <c r="O7" s="16">
        <f t="shared" si="0"/>
        <v>32130000</v>
      </c>
      <c r="P7" s="14" t="s">
        <v>1285</v>
      </c>
    </row>
  </sheetData>
  <dataValidations count="8">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 E7">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4:E6">
      <formula1>1900/1/1</formula1>
      <formula2>3000/1/1</formula2>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v>52416</v>
      </c>
      <c r="C2" s="10" t="s">
        <v>139</v>
      </c>
      <c r="D2" s="11">
        <v>44034</v>
      </c>
      <c r="E2" s="11">
        <v>44034</v>
      </c>
      <c r="F2" s="31">
        <v>15913335</v>
      </c>
      <c r="G2" s="32">
        <v>0</v>
      </c>
      <c r="H2" s="8" t="s">
        <v>140</v>
      </c>
      <c r="I2" s="12">
        <v>9005644591</v>
      </c>
      <c r="J2" s="13" t="s">
        <v>141</v>
      </c>
      <c r="K2" s="14">
        <v>50</v>
      </c>
      <c r="L2" s="15" t="s">
        <v>250</v>
      </c>
      <c r="M2" s="16">
        <v>267451</v>
      </c>
      <c r="N2" s="16">
        <v>50816</v>
      </c>
      <c r="O2" s="16">
        <f t="shared" ref="O2" si="0">K2*(M2+N2)</f>
        <v>15913350</v>
      </c>
      <c r="P2" s="14" t="s">
        <v>1372</v>
      </c>
    </row>
  </sheetData>
  <dataValidations count="5">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J1" workbookViewId="0">
      <selection activeCell="O7" sqref="O7"/>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252</v>
      </c>
      <c r="B2" s="9" t="s">
        <v>257</v>
      </c>
      <c r="C2" s="10" t="s">
        <v>258</v>
      </c>
      <c r="D2" s="11">
        <v>43916</v>
      </c>
      <c r="E2" s="11">
        <v>43917</v>
      </c>
      <c r="F2" s="31">
        <v>21397390</v>
      </c>
      <c r="G2" s="32">
        <v>0</v>
      </c>
      <c r="H2" s="8" t="s">
        <v>259</v>
      </c>
      <c r="I2" s="12">
        <v>901165706</v>
      </c>
      <c r="J2" s="13" t="s">
        <v>260</v>
      </c>
      <c r="K2" s="14">
        <v>100</v>
      </c>
      <c r="L2" s="15" t="s">
        <v>250</v>
      </c>
      <c r="M2" s="16">
        <v>13500</v>
      </c>
      <c r="N2" s="16">
        <v>2565</v>
      </c>
      <c r="O2" s="16">
        <f t="shared" ref="O2" si="0">K2*(M2+N2)</f>
        <v>1606500</v>
      </c>
      <c r="P2" s="14" t="s">
        <v>261</v>
      </c>
    </row>
    <row r="3" spans="1:16" x14ac:dyDescent="0.3">
      <c r="A3" s="8" t="s">
        <v>544</v>
      </c>
      <c r="B3" s="9" t="s">
        <v>592</v>
      </c>
      <c r="C3" s="10" t="s">
        <v>593</v>
      </c>
      <c r="D3" s="11">
        <v>43986</v>
      </c>
      <c r="E3" s="11">
        <v>43986</v>
      </c>
      <c r="F3" s="31">
        <v>39927000</v>
      </c>
      <c r="G3" s="32">
        <v>0</v>
      </c>
      <c r="H3" s="8" t="s">
        <v>594</v>
      </c>
      <c r="I3" s="12">
        <v>901031972</v>
      </c>
      <c r="J3" s="13" t="s">
        <v>597</v>
      </c>
      <c r="K3" s="14">
        <v>300</v>
      </c>
      <c r="L3" s="15" t="s">
        <v>250</v>
      </c>
      <c r="M3" s="16">
        <v>10000</v>
      </c>
      <c r="N3" s="16">
        <v>0</v>
      </c>
      <c r="O3" s="16">
        <f>M3*K3</f>
        <v>3000000</v>
      </c>
      <c r="P3" s="14" t="s">
        <v>261</v>
      </c>
    </row>
    <row r="4" spans="1:16" x14ac:dyDescent="0.3">
      <c r="A4" s="8" t="s">
        <v>623</v>
      </c>
      <c r="B4" s="9" t="s">
        <v>644</v>
      </c>
      <c r="C4" s="10" t="s">
        <v>645</v>
      </c>
      <c r="D4" s="11">
        <v>43971</v>
      </c>
      <c r="E4" s="11">
        <v>43978</v>
      </c>
      <c r="F4" s="31">
        <v>38340000</v>
      </c>
      <c r="G4" s="32">
        <v>0</v>
      </c>
      <c r="H4" s="8" t="s">
        <v>626</v>
      </c>
      <c r="I4" s="12">
        <v>813005241</v>
      </c>
      <c r="J4" s="13" t="s">
        <v>648</v>
      </c>
      <c r="K4" s="14">
        <v>600</v>
      </c>
      <c r="L4" s="15" t="s">
        <v>250</v>
      </c>
      <c r="M4" s="16">
        <v>7000</v>
      </c>
      <c r="N4" s="16">
        <v>0</v>
      </c>
      <c r="O4" s="16">
        <f t="shared" ref="O4:O7" si="1">K4*(M4+N4)</f>
        <v>4200000</v>
      </c>
      <c r="P4" s="14" t="s">
        <v>261</v>
      </c>
    </row>
    <row r="5" spans="1:16" x14ac:dyDescent="0.3">
      <c r="A5" s="8" t="s">
        <v>885</v>
      </c>
      <c r="B5" s="9" t="s">
        <v>923</v>
      </c>
      <c r="C5" s="17" t="s">
        <v>916</v>
      </c>
      <c r="D5" s="11">
        <v>43924</v>
      </c>
      <c r="E5" s="11">
        <v>43925</v>
      </c>
      <c r="F5" s="31">
        <v>3050000</v>
      </c>
      <c r="G5" s="32">
        <v>0</v>
      </c>
      <c r="H5" s="8" t="s">
        <v>924</v>
      </c>
      <c r="I5" s="12">
        <v>901285199</v>
      </c>
      <c r="J5" s="13" t="s">
        <v>926</v>
      </c>
      <c r="K5" s="14">
        <v>100</v>
      </c>
      <c r="L5" s="15" t="s">
        <v>250</v>
      </c>
      <c r="M5" s="16">
        <v>10504</v>
      </c>
      <c r="N5" s="16">
        <f>M5*0.19</f>
        <v>1995.76</v>
      </c>
      <c r="O5" s="16">
        <f t="shared" si="1"/>
        <v>1249976</v>
      </c>
      <c r="P5" s="19" t="s">
        <v>261</v>
      </c>
    </row>
    <row r="6" spans="1:16" x14ac:dyDescent="0.3">
      <c r="A6" s="8" t="s">
        <v>976</v>
      </c>
      <c r="B6" s="9" t="s">
        <v>987</v>
      </c>
      <c r="C6" s="10" t="s">
        <v>978</v>
      </c>
      <c r="D6" s="11">
        <v>43937</v>
      </c>
      <c r="E6" s="11">
        <v>43937</v>
      </c>
      <c r="F6" s="31">
        <v>36963400</v>
      </c>
      <c r="G6" s="32">
        <v>0</v>
      </c>
      <c r="H6" s="8" t="s">
        <v>988</v>
      </c>
      <c r="I6" s="12">
        <v>901008660</v>
      </c>
      <c r="J6" s="13" t="s">
        <v>989</v>
      </c>
      <c r="K6" s="14">
        <v>200</v>
      </c>
      <c r="L6" s="15" t="s">
        <v>250</v>
      </c>
      <c r="M6" s="16">
        <v>5882</v>
      </c>
      <c r="N6" s="16">
        <v>0</v>
      </c>
      <c r="O6" s="16">
        <f t="shared" si="1"/>
        <v>1176400</v>
      </c>
      <c r="P6" s="14" t="s">
        <v>261</v>
      </c>
    </row>
    <row r="7" spans="1:16" x14ac:dyDescent="0.3">
      <c r="A7" s="8" t="s">
        <v>1161</v>
      </c>
      <c r="B7" s="9" t="s">
        <v>1167</v>
      </c>
      <c r="C7" s="10" t="s">
        <v>1168</v>
      </c>
      <c r="D7" s="11">
        <v>43917</v>
      </c>
      <c r="E7" s="11">
        <v>43917</v>
      </c>
      <c r="F7" s="31">
        <v>3918700</v>
      </c>
      <c r="G7" s="32">
        <v>0</v>
      </c>
      <c r="H7" s="8" t="s">
        <v>1169</v>
      </c>
      <c r="I7" s="12">
        <v>900769393</v>
      </c>
      <c r="J7" s="13" t="s">
        <v>1171</v>
      </c>
      <c r="K7" s="14">
        <v>50</v>
      </c>
      <c r="L7" s="15" t="s">
        <v>250</v>
      </c>
      <c r="M7" s="16">
        <v>7051</v>
      </c>
      <c r="N7" s="16">
        <f>M7*0.19</f>
        <v>1339.69</v>
      </c>
      <c r="O7" s="16">
        <f t="shared" si="1"/>
        <v>419534.5</v>
      </c>
      <c r="P7" s="14" t="s">
        <v>261</v>
      </c>
    </row>
  </sheetData>
  <dataValidations count="1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3 A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B4 B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4 H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3">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D3:E3">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 I6">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 F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4:E6 D7:I7 A7:B7">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D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6">
      <formula1>-9223372036854770000</formula1>
      <formula2>9223372036854770000</formula2>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I1" workbookViewId="0">
      <selection activeCell="O13" sqref="O1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30</v>
      </c>
      <c r="C2" s="10" t="s">
        <v>31</v>
      </c>
      <c r="D2" s="11">
        <v>43923</v>
      </c>
      <c r="E2" s="11">
        <v>43928</v>
      </c>
      <c r="F2" s="31">
        <v>11804524</v>
      </c>
      <c r="G2" s="32">
        <v>0</v>
      </c>
      <c r="H2" s="8" t="s">
        <v>32</v>
      </c>
      <c r="I2" s="12">
        <v>900742771</v>
      </c>
      <c r="J2" s="13" t="s">
        <v>33</v>
      </c>
      <c r="K2" s="24">
        <v>760</v>
      </c>
      <c r="L2" s="15" t="s">
        <v>172</v>
      </c>
      <c r="M2" s="16">
        <v>11795.263156999999</v>
      </c>
      <c r="N2" s="16">
        <f t="shared" ref="N2" si="0">M2*0.19</f>
        <v>2241.0999998299999</v>
      </c>
      <c r="O2" s="16">
        <f t="shared" ref="O2:O46" si="1">K2*(M2+N2)</f>
        <v>10667635.9991908</v>
      </c>
      <c r="P2" s="14" t="s">
        <v>34</v>
      </c>
    </row>
    <row r="3" spans="1:16" x14ac:dyDescent="0.3">
      <c r="A3" s="8" t="s">
        <v>16</v>
      </c>
      <c r="B3" s="9" t="s">
        <v>50</v>
      </c>
      <c r="C3" s="10" t="s">
        <v>41</v>
      </c>
      <c r="D3" s="11">
        <v>43967</v>
      </c>
      <c r="E3" s="11">
        <v>43967</v>
      </c>
      <c r="F3" s="31">
        <v>12450001</v>
      </c>
      <c r="G3" s="32">
        <v>0</v>
      </c>
      <c r="H3" s="8" t="s">
        <v>51</v>
      </c>
      <c r="I3" s="12">
        <v>830001338</v>
      </c>
      <c r="J3" s="13" t="s">
        <v>33</v>
      </c>
      <c r="K3" s="24">
        <v>1520</v>
      </c>
      <c r="L3" s="15" t="s">
        <v>172</v>
      </c>
      <c r="M3" s="16">
        <v>6883.0169159999996</v>
      </c>
      <c r="N3" s="16">
        <f t="shared" ref="N3" si="2">M3*19%</f>
        <v>1307.7732140399999</v>
      </c>
      <c r="O3" s="16">
        <f t="shared" si="1"/>
        <v>12450000.997660799</v>
      </c>
      <c r="P3" s="14" t="s">
        <v>34</v>
      </c>
    </row>
    <row r="4" spans="1:16" x14ac:dyDescent="0.3">
      <c r="A4" s="8" t="s">
        <v>86</v>
      </c>
      <c r="B4" s="9" t="s">
        <v>90</v>
      </c>
      <c r="C4" s="10" t="s">
        <v>91</v>
      </c>
      <c r="D4" s="11">
        <v>43916</v>
      </c>
      <c r="E4" s="11">
        <v>43920</v>
      </c>
      <c r="F4" s="31">
        <v>219927500</v>
      </c>
      <c r="G4" s="32">
        <v>0</v>
      </c>
      <c r="H4" s="8" t="s">
        <v>92</v>
      </c>
      <c r="I4" s="12">
        <v>900521780</v>
      </c>
      <c r="J4" s="13" t="s">
        <v>34</v>
      </c>
      <c r="K4" s="24">
        <v>750</v>
      </c>
      <c r="L4" s="15" t="s">
        <v>172</v>
      </c>
      <c r="M4" s="16">
        <v>36400</v>
      </c>
      <c r="N4" s="16">
        <v>0</v>
      </c>
      <c r="O4" s="16">
        <f t="shared" si="1"/>
        <v>27300000</v>
      </c>
      <c r="P4" s="14" t="s">
        <v>34</v>
      </c>
    </row>
    <row r="5" spans="1:16" x14ac:dyDescent="0.3">
      <c r="A5" s="8" t="s">
        <v>86</v>
      </c>
      <c r="B5" s="9" t="s">
        <v>119</v>
      </c>
      <c r="C5" s="10" t="s">
        <v>120</v>
      </c>
      <c r="D5" s="11">
        <v>43978</v>
      </c>
      <c r="E5" s="11">
        <v>43980</v>
      </c>
      <c r="F5" s="31">
        <v>418175000</v>
      </c>
      <c r="G5" s="32">
        <v>0</v>
      </c>
      <c r="H5" s="8" t="s">
        <v>121</v>
      </c>
      <c r="I5" s="12">
        <v>900053297</v>
      </c>
      <c r="J5" s="13" t="s">
        <v>126</v>
      </c>
      <c r="K5" s="24">
        <v>1250</v>
      </c>
      <c r="L5" s="15" t="s">
        <v>172</v>
      </c>
      <c r="M5" s="16">
        <f>14900*2</f>
        <v>29800</v>
      </c>
      <c r="N5" s="16">
        <v>0</v>
      </c>
      <c r="O5" s="16">
        <f t="shared" si="1"/>
        <v>37250000</v>
      </c>
      <c r="P5" s="14" t="s">
        <v>34</v>
      </c>
    </row>
    <row r="6" spans="1:16" x14ac:dyDescent="0.3">
      <c r="A6" s="8" t="s">
        <v>153</v>
      </c>
      <c r="B6" s="9" t="s">
        <v>183</v>
      </c>
      <c r="C6" s="10" t="s">
        <v>184</v>
      </c>
      <c r="D6" s="11">
        <v>43959</v>
      </c>
      <c r="E6" s="11">
        <v>43959</v>
      </c>
      <c r="F6" s="31">
        <v>2416900</v>
      </c>
      <c r="G6" s="32">
        <v>0</v>
      </c>
      <c r="H6" s="8" t="s">
        <v>185</v>
      </c>
      <c r="I6" s="12">
        <v>10125834</v>
      </c>
      <c r="J6" s="13" t="s">
        <v>1447</v>
      </c>
      <c r="K6" s="24">
        <v>193.05591000000001</v>
      </c>
      <c r="L6" s="15" t="s">
        <v>172</v>
      </c>
      <c r="M6" s="16">
        <f>41900/3.78541</f>
        <v>11068.814210349738</v>
      </c>
      <c r="N6" s="16">
        <v>0</v>
      </c>
      <c r="O6" s="16">
        <f t="shared" si="1"/>
        <v>2136900</v>
      </c>
      <c r="P6" s="14" t="s">
        <v>34</v>
      </c>
    </row>
    <row r="7" spans="1:16" x14ac:dyDescent="0.3">
      <c r="A7" s="8" t="s">
        <v>153</v>
      </c>
      <c r="B7" s="9" t="s">
        <v>186</v>
      </c>
      <c r="C7" s="10" t="s">
        <v>187</v>
      </c>
      <c r="D7" s="11">
        <v>43959</v>
      </c>
      <c r="E7" s="11">
        <v>43959</v>
      </c>
      <c r="F7" s="31">
        <v>30000000</v>
      </c>
      <c r="G7" s="32">
        <v>0</v>
      </c>
      <c r="H7" s="8" t="s">
        <v>188</v>
      </c>
      <c r="I7" s="12">
        <v>900353659</v>
      </c>
      <c r="J7" s="13" t="s">
        <v>189</v>
      </c>
      <c r="K7" s="24">
        <v>2000</v>
      </c>
      <c r="L7" s="15" t="s">
        <v>172</v>
      </c>
      <c r="M7" s="16">
        <v>15000</v>
      </c>
      <c r="N7" s="16">
        <v>0</v>
      </c>
      <c r="O7" s="16">
        <f t="shared" si="1"/>
        <v>30000000</v>
      </c>
      <c r="P7" s="14" t="s">
        <v>34</v>
      </c>
    </row>
    <row r="8" spans="1:16" x14ac:dyDescent="0.3">
      <c r="A8" s="8" t="s">
        <v>153</v>
      </c>
      <c r="B8" s="9" t="s">
        <v>192</v>
      </c>
      <c r="C8" s="10" t="s">
        <v>193</v>
      </c>
      <c r="D8" s="11">
        <v>43963</v>
      </c>
      <c r="E8" s="11">
        <v>43964</v>
      </c>
      <c r="F8" s="31">
        <v>10399998</v>
      </c>
      <c r="G8" s="32">
        <v>0</v>
      </c>
      <c r="H8" s="8" t="s">
        <v>194</v>
      </c>
      <c r="I8" s="12">
        <v>900151140</v>
      </c>
      <c r="J8" s="13" t="s">
        <v>197</v>
      </c>
      <c r="K8" s="24">
        <v>144</v>
      </c>
      <c r="L8" s="15" t="s">
        <v>172</v>
      </c>
      <c r="M8" s="16">
        <f>75000/4.5</f>
        <v>16666.666666666668</v>
      </c>
      <c r="N8" s="16">
        <v>0</v>
      </c>
      <c r="O8" s="16">
        <f t="shared" si="1"/>
        <v>2400000</v>
      </c>
      <c r="P8" s="14" t="s">
        <v>34</v>
      </c>
    </row>
    <row r="9" spans="1:16" x14ac:dyDescent="0.3">
      <c r="A9" s="8" t="s">
        <v>252</v>
      </c>
      <c r="B9" s="9" t="s">
        <v>257</v>
      </c>
      <c r="C9" s="10" t="s">
        <v>258</v>
      </c>
      <c r="D9" s="11">
        <v>43916</v>
      </c>
      <c r="E9" s="11">
        <v>43917</v>
      </c>
      <c r="F9" s="31">
        <v>21397390</v>
      </c>
      <c r="G9" s="32">
        <v>0</v>
      </c>
      <c r="H9" s="8" t="s">
        <v>259</v>
      </c>
      <c r="I9" s="12">
        <v>901165706</v>
      </c>
      <c r="J9" s="13" t="s">
        <v>33</v>
      </c>
      <c r="K9" s="24">
        <v>50</v>
      </c>
      <c r="L9" s="15" t="s">
        <v>172</v>
      </c>
      <c r="M9" s="16">
        <v>30000</v>
      </c>
      <c r="N9" s="16">
        <v>5700</v>
      </c>
      <c r="O9" s="16">
        <f t="shared" si="1"/>
        <v>1785000</v>
      </c>
      <c r="P9" s="14" t="s">
        <v>34</v>
      </c>
    </row>
    <row r="10" spans="1:16" x14ac:dyDescent="0.3">
      <c r="A10" s="8" t="s">
        <v>320</v>
      </c>
      <c r="B10" s="9" t="s">
        <v>325</v>
      </c>
      <c r="C10" s="10" t="s">
        <v>326</v>
      </c>
      <c r="D10" s="11">
        <v>43915</v>
      </c>
      <c r="E10" s="11">
        <v>43915</v>
      </c>
      <c r="F10" s="31">
        <v>8399531</v>
      </c>
      <c r="G10" s="32">
        <v>0</v>
      </c>
      <c r="H10" s="8" t="s">
        <v>327</v>
      </c>
      <c r="I10" s="12">
        <v>1047451945</v>
      </c>
      <c r="J10" s="13" t="s">
        <v>33</v>
      </c>
      <c r="K10" s="24">
        <v>333.5</v>
      </c>
      <c r="L10" s="15" t="s">
        <v>172</v>
      </c>
      <c r="M10" s="16">
        <v>25186</v>
      </c>
      <c r="N10" s="16">
        <v>0</v>
      </c>
      <c r="O10" s="16">
        <f t="shared" si="1"/>
        <v>8399531</v>
      </c>
      <c r="P10" s="14" t="s">
        <v>34</v>
      </c>
    </row>
    <row r="11" spans="1:16" x14ac:dyDescent="0.3">
      <c r="A11" s="8" t="s">
        <v>320</v>
      </c>
      <c r="B11" s="9" t="s">
        <v>344</v>
      </c>
      <c r="C11" s="10" t="s">
        <v>340</v>
      </c>
      <c r="D11" s="11" t="s">
        <v>341</v>
      </c>
      <c r="E11" s="11" t="s">
        <v>341</v>
      </c>
      <c r="F11" s="31">
        <v>17400156</v>
      </c>
      <c r="G11" s="32">
        <v>0</v>
      </c>
      <c r="H11" s="8" t="s">
        <v>227</v>
      </c>
      <c r="I11" s="12">
        <v>900704052</v>
      </c>
      <c r="J11" s="13" t="s">
        <v>345</v>
      </c>
      <c r="K11" s="24">
        <v>1434</v>
      </c>
      <c r="L11" s="15" t="s">
        <v>172</v>
      </c>
      <c r="M11" s="16">
        <v>11634</v>
      </c>
      <c r="N11" s="16">
        <v>0</v>
      </c>
      <c r="O11" s="16">
        <f t="shared" si="1"/>
        <v>16683156</v>
      </c>
      <c r="P11" s="14" t="s">
        <v>34</v>
      </c>
    </row>
    <row r="12" spans="1:16" x14ac:dyDescent="0.3">
      <c r="A12" s="8" t="s">
        <v>320</v>
      </c>
      <c r="B12" s="9" t="s">
        <v>377</v>
      </c>
      <c r="C12" s="10" t="s">
        <v>378</v>
      </c>
      <c r="D12" s="11">
        <v>44008</v>
      </c>
      <c r="E12" s="11">
        <v>44008</v>
      </c>
      <c r="F12" s="31">
        <v>2457000</v>
      </c>
      <c r="G12" s="32">
        <v>0</v>
      </c>
      <c r="H12" s="8" t="s">
        <v>379</v>
      </c>
      <c r="I12" s="12">
        <v>811008383</v>
      </c>
      <c r="J12" s="13" t="s">
        <v>34</v>
      </c>
      <c r="K12" s="24">
        <v>379.98</v>
      </c>
      <c r="L12" s="15" t="s">
        <v>172</v>
      </c>
      <c r="M12" s="16">
        <v>6466</v>
      </c>
      <c r="N12" s="16">
        <v>0</v>
      </c>
      <c r="O12" s="16">
        <f t="shared" si="1"/>
        <v>2456950.6800000002</v>
      </c>
      <c r="P12" s="14" t="s">
        <v>34</v>
      </c>
    </row>
    <row r="13" spans="1:16" x14ac:dyDescent="0.3">
      <c r="A13" s="8" t="s">
        <v>387</v>
      </c>
      <c r="B13" s="9" t="s">
        <v>392</v>
      </c>
      <c r="C13" s="10" t="s">
        <v>393</v>
      </c>
      <c r="D13" s="11">
        <v>43963</v>
      </c>
      <c r="E13" s="11">
        <v>43963</v>
      </c>
      <c r="F13" s="31">
        <v>166018725</v>
      </c>
      <c r="G13" s="32">
        <v>0</v>
      </c>
      <c r="H13" s="8" t="s">
        <v>390</v>
      </c>
      <c r="I13" s="12">
        <v>813005241</v>
      </c>
      <c r="J13" s="13" t="s">
        <v>1439</v>
      </c>
      <c r="K13" s="24">
        <f>700*3.8</f>
        <v>2660</v>
      </c>
      <c r="L13" s="15" t="s">
        <v>172</v>
      </c>
      <c r="M13" s="16">
        <f>58820/3.8</f>
        <v>15478.947368421053</v>
      </c>
      <c r="N13" s="16">
        <v>0</v>
      </c>
      <c r="O13" s="16">
        <f t="shared" si="1"/>
        <v>41174000</v>
      </c>
      <c r="P13" s="14" t="s">
        <v>34</v>
      </c>
    </row>
    <row r="14" spans="1:16" x14ac:dyDescent="0.3">
      <c r="A14" s="8" t="s">
        <v>387</v>
      </c>
      <c r="B14" s="9" t="s">
        <v>397</v>
      </c>
      <c r="C14" s="10" t="s">
        <v>398</v>
      </c>
      <c r="D14" s="11">
        <v>44015</v>
      </c>
      <c r="E14" s="11">
        <v>44018</v>
      </c>
      <c r="F14" s="31">
        <v>201000100</v>
      </c>
      <c r="G14" s="32">
        <v>0</v>
      </c>
      <c r="H14" s="8" t="s">
        <v>390</v>
      </c>
      <c r="I14" s="12">
        <v>813005241</v>
      </c>
      <c r="J14" s="13" t="s">
        <v>33</v>
      </c>
      <c r="K14" s="24">
        <f>750*3.8</f>
        <v>2850</v>
      </c>
      <c r="L14" s="15" t="s">
        <v>172</v>
      </c>
      <c r="M14" s="16">
        <v>54000</v>
      </c>
      <c r="N14" s="16">
        <v>0</v>
      </c>
      <c r="O14" s="16">
        <f t="shared" si="1"/>
        <v>153900000</v>
      </c>
      <c r="P14" s="14" t="s">
        <v>34</v>
      </c>
    </row>
    <row r="15" spans="1:16" x14ac:dyDescent="0.3">
      <c r="A15" s="8" t="s">
        <v>387</v>
      </c>
      <c r="B15" s="9" t="s">
        <v>397</v>
      </c>
      <c r="C15" s="10" t="s">
        <v>398</v>
      </c>
      <c r="D15" s="11">
        <v>44015</v>
      </c>
      <c r="E15" s="11">
        <v>44018</v>
      </c>
      <c r="F15" s="31">
        <v>201000100</v>
      </c>
      <c r="G15" s="32">
        <v>0</v>
      </c>
      <c r="H15" s="8" t="s">
        <v>390</v>
      </c>
      <c r="I15" s="12">
        <v>813005241</v>
      </c>
      <c r="J15" s="13" t="s">
        <v>33</v>
      </c>
      <c r="K15" s="24">
        <v>30</v>
      </c>
      <c r="L15" s="15" t="s">
        <v>172</v>
      </c>
      <c r="M15" s="16">
        <v>9900</v>
      </c>
      <c r="N15" s="16">
        <v>0</v>
      </c>
      <c r="O15" s="16">
        <f t="shared" si="1"/>
        <v>297000</v>
      </c>
      <c r="P15" s="14" t="s">
        <v>34</v>
      </c>
    </row>
    <row r="16" spans="1:16" x14ac:dyDescent="0.3">
      <c r="A16" s="8" t="s">
        <v>407</v>
      </c>
      <c r="B16" s="9" t="s">
        <v>417</v>
      </c>
      <c r="C16" s="10" t="s">
        <v>1223</v>
      </c>
      <c r="D16" s="11">
        <v>43929</v>
      </c>
      <c r="E16" s="11">
        <v>43929</v>
      </c>
      <c r="F16" s="31">
        <v>6125000</v>
      </c>
      <c r="G16" s="32">
        <v>0</v>
      </c>
      <c r="H16" s="8" t="s">
        <v>418</v>
      </c>
      <c r="I16" s="12">
        <v>1053782604</v>
      </c>
      <c r="J16" s="13" t="s">
        <v>33</v>
      </c>
      <c r="K16" s="24">
        <v>175</v>
      </c>
      <c r="L16" s="15" t="s">
        <v>172</v>
      </c>
      <c r="M16" s="16">
        <v>15000</v>
      </c>
      <c r="N16" s="16">
        <v>0</v>
      </c>
      <c r="O16" s="16">
        <f t="shared" si="1"/>
        <v>2625000</v>
      </c>
      <c r="P16" s="14" t="s">
        <v>34</v>
      </c>
    </row>
    <row r="17" spans="1:16" x14ac:dyDescent="0.3">
      <c r="A17" s="8" t="s">
        <v>407</v>
      </c>
      <c r="B17" s="9" t="s">
        <v>450</v>
      </c>
      <c r="C17" s="10" t="s">
        <v>451</v>
      </c>
      <c r="D17" s="11">
        <v>43983</v>
      </c>
      <c r="E17" s="11">
        <v>43983</v>
      </c>
      <c r="F17" s="31">
        <v>7650000</v>
      </c>
      <c r="G17" s="32">
        <v>0</v>
      </c>
      <c r="H17" s="8" t="s">
        <v>442</v>
      </c>
      <c r="I17" s="12">
        <v>94409574</v>
      </c>
      <c r="J17" s="13" t="s">
        <v>451</v>
      </c>
      <c r="K17" s="24">
        <v>500</v>
      </c>
      <c r="L17" s="15" t="s">
        <v>172</v>
      </c>
      <c r="M17" s="16">
        <v>12700</v>
      </c>
      <c r="N17" s="16">
        <v>0</v>
      </c>
      <c r="O17" s="16">
        <f t="shared" si="1"/>
        <v>6350000</v>
      </c>
      <c r="P17" s="14" t="s">
        <v>34</v>
      </c>
    </row>
    <row r="18" spans="1:16" x14ac:dyDescent="0.3">
      <c r="A18" s="8" t="s">
        <v>490</v>
      </c>
      <c r="B18" s="9" t="s">
        <v>491</v>
      </c>
      <c r="C18" s="10" t="s">
        <v>492</v>
      </c>
      <c r="D18" s="11">
        <v>43959</v>
      </c>
      <c r="E18" s="11">
        <v>43963</v>
      </c>
      <c r="F18" s="31">
        <v>0</v>
      </c>
      <c r="G18" s="32">
        <v>20220000</v>
      </c>
      <c r="H18" s="8" t="s">
        <v>493</v>
      </c>
      <c r="I18" s="12">
        <v>900429897</v>
      </c>
      <c r="J18" s="13" t="s">
        <v>494</v>
      </c>
      <c r="K18" s="24">
        <v>1200</v>
      </c>
      <c r="L18" s="15" t="s">
        <v>172</v>
      </c>
      <c r="M18" s="16">
        <v>16850</v>
      </c>
      <c r="N18" s="16">
        <v>0</v>
      </c>
      <c r="O18" s="16">
        <f t="shared" si="1"/>
        <v>20220000</v>
      </c>
      <c r="P18" s="14" t="s">
        <v>34</v>
      </c>
    </row>
    <row r="19" spans="1:16" x14ac:dyDescent="0.3">
      <c r="A19" s="8" t="s">
        <v>490</v>
      </c>
      <c r="B19" s="9" t="s">
        <v>491</v>
      </c>
      <c r="C19" s="10" t="s">
        <v>492</v>
      </c>
      <c r="D19" s="11">
        <v>43959</v>
      </c>
      <c r="E19" s="11">
        <v>43963</v>
      </c>
      <c r="F19" s="31">
        <v>36164900</v>
      </c>
      <c r="G19" s="32">
        <v>0</v>
      </c>
      <c r="H19" s="8" t="s">
        <v>493</v>
      </c>
      <c r="I19" s="12">
        <v>900429897</v>
      </c>
      <c r="J19" s="13" t="s">
        <v>536</v>
      </c>
      <c r="K19" s="24">
        <v>1354</v>
      </c>
      <c r="L19" s="15" t="s">
        <v>172</v>
      </c>
      <c r="M19" s="16">
        <v>16850</v>
      </c>
      <c r="N19" s="16">
        <v>0</v>
      </c>
      <c r="O19" s="16">
        <f t="shared" si="1"/>
        <v>22814900</v>
      </c>
      <c r="P19" s="14" t="s">
        <v>34</v>
      </c>
    </row>
    <row r="20" spans="1:16" x14ac:dyDescent="0.3">
      <c r="A20" s="8" t="s">
        <v>544</v>
      </c>
      <c r="B20" s="9" t="s">
        <v>563</v>
      </c>
      <c r="C20" s="10" t="s">
        <v>564</v>
      </c>
      <c r="D20" s="11" t="s">
        <v>565</v>
      </c>
      <c r="E20" s="11" t="s">
        <v>565</v>
      </c>
      <c r="F20" s="31">
        <v>10499998</v>
      </c>
      <c r="G20" s="32">
        <v>0</v>
      </c>
      <c r="H20" s="8" t="s">
        <v>566</v>
      </c>
      <c r="I20" s="12">
        <v>901260145</v>
      </c>
      <c r="J20" s="13" t="s">
        <v>567</v>
      </c>
      <c r="K20" s="24">
        <v>350</v>
      </c>
      <c r="L20" s="15" t="s">
        <v>172</v>
      </c>
      <c r="M20" s="16">
        <v>25210.080000000002</v>
      </c>
      <c r="N20" s="16">
        <f t="shared" ref="N20:N22" si="3">M20*0.19</f>
        <v>4789.9152000000004</v>
      </c>
      <c r="O20" s="16">
        <f t="shared" si="1"/>
        <v>10499998.32</v>
      </c>
      <c r="P20" s="14" t="s">
        <v>34</v>
      </c>
    </row>
    <row r="21" spans="1:16" x14ac:dyDescent="0.3">
      <c r="A21" s="8" t="s">
        <v>544</v>
      </c>
      <c r="B21" s="9" t="s">
        <v>576</v>
      </c>
      <c r="C21" s="10" t="s">
        <v>564</v>
      </c>
      <c r="D21" s="11" t="s">
        <v>577</v>
      </c>
      <c r="E21" s="11" t="s">
        <v>577</v>
      </c>
      <c r="F21" s="31">
        <v>15999997</v>
      </c>
      <c r="G21" s="32">
        <v>0</v>
      </c>
      <c r="H21" s="8" t="s">
        <v>566</v>
      </c>
      <c r="I21" s="12">
        <v>901260145</v>
      </c>
      <c r="J21" s="13" t="s">
        <v>1443</v>
      </c>
      <c r="K21" s="24">
        <v>300</v>
      </c>
      <c r="L21" s="15" t="s">
        <v>172</v>
      </c>
      <c r="M21" s="16">
        <v>16806.72</v>
      </c>
      <c r="N21" s="16">
        <f t="shared" si="3"/>
        <v>3193.2768000000001</v>
      </c>
      <c r="O21" s="16">
        <f t="shared" si="1"/>
        <v>5999999.04</v>
      </c>
      <c r="P21" s="14" t="s">
        <v>34</v>
      </c>
    </row>
    <row r="22" spans="1:16" x14ac:dyDescent="0.3">
      <c r="A22" s="8" t="s">
        <v>544</v>
      </c>
      <c r="B22" s="9" t="s">
        <v>587</v>
      </c>
      <c r="C22" s="10" t="s">
        <v>588</v>
      </c>
      <c r="D22" s="11">
        <v>43984</v>
      </c>
      <c r="E22" s="11">
        <v>43984</v>
      </c>
      <c r="F22" s="31">
        <v>4000000</v>
      </c>
      <c r="G22" s="32">
        <v>0</v>
      </c>
      <c r="H22" s="8" t="s">
        <v>589</v>
      </c>
      <c r="I22" s="12">
        <v>901059820</v>
      </c>
      <c r="J22" s="13" t="s">
        <v>591</v>
      </c>
      <c r="K22" s="24">
        <v>24</v>
      </c>
      <c r="L22" s="15" t="s">
        <v>172</v>
      </c>
      <c r="M22" s="16">
        <v>16806.73</v>
      </c>
      <c r="N22" s="16">
        <f t="shared" si="3"/>
        <v>3193.2786999999998</v>
      </c>
      <c r="O22" s="16">
        <f t="shared" si="1"/>
        <v>480000.20879999996</v>
      </c>
      <c r="P22" s="14" t="s">
        <v>34</v>
      </c>
    </row>
    <row r="23" spans="1:16" x14ac:dyDescent="0.3">
      <c r="A23" s="8" t="s">
        <v>544</v>
      </c>
      <c r="B23" s="9" t="s">
        <v>599</v>
      </c>
      <c r="C23" s="10" t="s">
        <v>600</v>
      </c>
      <c r="D23" s="11">
        <v>43987</v>
      </c>
      <c r="E23" s="11">
        <v>43987</v>
      </c>
      <c r="F23" s="31">
        <v>131250000</v>
      </c>
      <c r="G23" s="32">
        <v>0</v>
      </c>
      <c r="H23" s="8" t="s">
        <v>601</v>
      </c>
      <c r="I23" s="12">
        <v>901220553</v>
      </c>
      <c r="J23" s="13" t="s">
        <v>604</v>
      </c>
      <c r="K23" s="24">
        <v>1500</v>
      </c>
      <c r="L23" s="15" t="s">
        <v>172</v>
      </c>
      <c r="M23" s="16">
        <v>14500</v>
      </c>
      <c r="N23" s="16">
        <v>0</v>
      </c>
      <c r="O23" s="16">
        <f t="shared" si="1"/>
        <v>21750000</v>
      </c>
      <c r="P23" s="14" t="s">
        <v>34</v>
      </c>
    </row>
    <row r="24" spans="1:16" x14ac:dyDescent="0.3">
      <c r="A24" s="8" t="s">
        <v>623</v>
      </c>
      <c r="B24" s="9" t="s">
        <v>624</v>
      </c>
      <c r="C24" s="10" t="s">
        <v>625</v>
      </c>
      <c r="D24" s="11">
        <v>43909</v>
      </c>
      <c r="E24" s="11">
        <v>43915</v>
      </c>
      <c r="F24" s="31">
        <v>92450981</v>
      </c>
      <c r="G24" s="32">
        <v>0</v>
      </c>
      <c r="H24" s="8" t="s">
        <v>626</v>
      </c>
      <c r="I24" s="12">
        <v>813005241</v>
      </c>
      <c r="J24" s="13" t="s">
        <v>33</v>
      </c>
      <c r="K24" s="24">
        <v>2280</v>
      </c>
      <c r="L24" s="15" t="s">
        <v>172</v>
      </c>
      <c r="M24" s="16">
        <v>15480</v>
      </c>
      <c r="N24" s="16">
        <f t="shared" ref="N24" si="4">M24*0.19</f>
        <v>2941.2</v>
      </c>
      <c r="O24" s="16">
        <f t="shared" si="1"/>
        <v>42000336</v>
      </c>
      <c r="P24" s="14" t="s">
        <v>34</v>
      </c>
    </row>
    <row r="25" spans="1:16" x14ac:dyDescent="0.3">
      <c r="A25" s="8" t="s">
        <v>623</v>
      </c>
      <c r="B25" s="9" t="s">
        <v>637</v>
      </c>
      <c r="C25" s="10" t="s">
        <v>625</v>
      </c>
      <c r="D25" s="11">
        <v>43920</v>
      </c>
      <c r="E25" s="11">
        <v>43922</v>
      </c>
      <c r="F25" s="31">
        <v>12050000</v>
      </c>
      <c r="G25" s="32">
        <v>0</v>
      </c>
      <c r="H25" s="8" t="s">
        <v>638</v>
      </c>
      <c r="I25" s="12">
        <v>901002888</v>
      </c>
      <c r="J25" s="13" t="s">
        <v>33</v>
      </c>
      <c r="K25" s="24">
        <v>300</v>
      </c>
      <c r="L25" s="15" t="s">
        <v>172</v>
      </c>
      <c r="M25" s="16">
        <v>18000</v>
      </c>
      <c r="N25" s="16">
        <v>0</v>
      </c>
      <c r="O25" s="16">
        <f t="shared" si="1"/>
        <v>5400000</v>
      </c>
      <c r="P25" s="14" t="s">
        <v>34</v>
      </c>
    </row>
    <row r="26" spans="1:16" x14ac:dyDescent="0.3">
      <c r="A26" s="8" t="s">
        <v>623</v>
      </c>
      <c r="B26" s="9" t="s">
        <v>651</v>
      </c>
      <c r="C26" s="10" t="s">
        <v>645</v>
      </c>
      <c r="D26" s="11">
        <v>43971</v>
      </c>
      <c r="E26" s="11">
        <v>43978</v>
      </c>
      <c r="F26" s="31">
        <v>9683640</v>
      </c>
      <c r="G26" s="32">
        <v>0</v>
      </c>
      <c r="H26" s="8" t="s">
        <v>652</v>
      </c>
      <c r="I26" s="12">
        <v>830094214</v>
      </c>
      <c r="J26" s="13" t="s">
        <v>653</v>
      </c>
      <c r="K26" s="24">
        <v>342</v>
      </c>
      <c r="L26" s="15" t="s">
        <v>172</v>
      </c>
      <c r="M26" s="16">
        <v>13500</v>
      </c>
      <c r="N26" s="16">
        <v>0</v>
      </c>
      <c r="O26" s="16">
        <f t="shared" si="1"/>
        <v>4617000</v>
      </c>
      <c r="P26" s="14" t="s">
        <v>34</v>
      </c>
    </row>
    <row r="27" spans="1:16" x14ac:dyDescent="0.3">
      <c r="A27" s="8" t="s">
        <v>623</v>
      </c>
      <c r="B27" s="9" t="s">
        <v>671</v>
      </c>
      <c r="C27" s="10" t="s">
        <v>661</v>
      </c>
      <c r="D27" s="11">
        <v>43979</v>
      </c>
      <c r="E27" s="11">
        <v>43979</v>
      </c>
      <c r="F27" s="31">
        <v>27353976</v>
      </c>
      <c r="G27" s="32">
        <v>0</v>
      </c>
      <c r="H27" s="8" t="s">
        <v>652</v>
      </c>
      <c r="I27" s="12">
        <v>830094214</v>
      </c>
      <c r="J27" s="13" t="s">
        <v>672</v>
      </c>
      <c r="K27" s="24">
        <v>1284</v>
      </c>
      <c r="L27" s="15" t="s">
        <v>172</v>
      </c>
      <c r="M27" s="16">
        <v>13400</v>
      </c>
      <c r="N27" s="16">
        <v>0</v>
      </c>
      <c r="O27" s="16">
        <f t="shared" si="1"/>
        <v>17205600</v>
      </c>
      <c r="P27" s="14" t="s">
        <v>34</v>
      </c>
    </row>
    <row r="28" spans="1:16" x14ac:dyDescent="0.3">
      <c r="A28" s="8" t="s">
        <v>693</v>
      </c>
      <c r="B28" s="9" t="s">
        <v>699</v>
      </c>
      <c r="C28" s="10" t="s">
        <v>700</v>
      </c>
      <c r="D28" s="11">
        <v>43944</v>
      </c>
      <c r="E28" s="11">
        <v>43944</v>
      </c>
      <c r="F28" s="31">
        <v>16680840</v>
      </c>
      <c r="G28" s="32">
        <v>0</v>
      </c>
      <c r="H28" s="8" t="s">
        <v>701</v>
      </c>
      <c r="I28" s="12">
        <v>900704052</v>
      </c>
      <c r="J28" s="13" t="s">
        <v>702</v>
      </c>
      <c r="K28" s="24">
        <v>1254</v>
      </c>
      <c r="L28" s="15" t="s">
        <v>172</v>
      </c>
      <c r="M28" s="16">
        <v>13302.105262999999</v>
      </c>
      <c r="N28" s="16">
        <v>0</v>
      </c>
      <c r="O28" s="16">
        <f t="shared" si="1"/>
        <v>16680839.999801999</v>
      </c>
      <c r="P28" s="14" t="s">
        <v>34</v>
      </c>
    </row>
    <row r="29" spans="1:16" x14ac:dyDescent="0.3">
      <c r="A29" s="8" t="s">
        <v>693</v>
      </c>
      <c r="B29" s="9" t="s">
        <v>714</v>
      </c>
      <c r="C29" s="10" t="s">
        <v>712</v>
      </c>
      <c r="D29" s="11">
        <v>43985</v>
      </c>
      <c r="E29" s="11">
        <v>43986</v>
      </c>
      <c r="F29" s="31">
        <v>44570660</v>
      </c>
      <c r="G29" s="32">
        <v>0</v>
      </c>
      <c r="H29" s="8" t="s">
        <v>715</v>
      </c>
      <c r="I29" s="12">
        <v>900155107</v>
      </c>
      <c r="J29" s="13" t="s">
        <v>1448</v>
      </c>
      <c r="K29" s="24">
        <v>352</v>
      </c>
      <c r="L29" s="15" t="s">
        <v>172</v>
      </c>
      <c r="M29" s="16">
        <f>11765*2</f>
        <v>23530</v>
      </c>
      <c r="N29" s="16">
        <v>0</v>
      </c>
      <c r="O29" s="16">
        <f t="shared" si="1"/>
        <v>8282560</v>
      </c>
      <c r="P29" s="14" t="s">
        <v>34</v>
      </c>
    </row>
    <row r="30" spans="1:16" x14ac:dyDescent="0.3">
      <c r="A30" s="8" t="s">
        <v>728</v>
      </c>
      <c r="B30" s="9">
        <v>1491804</v>
      </c>
      <c r="C30" s="10" t="s">
        <v>734</v>
      </c>
      <c r="D30" s="11">
        <v>43927</v>
      </c>
      <c r="E30" s="11">
        <v>43928</v>
      </c>
      <c r="F30" s="31">
        <v>82970740</v>
      </c>
      <c r="G30" s="32">
        <v>0</v>
      </c>
      <c r="H30" s="8" t="s">
        <v>735</v>
      </c>
      <c r="I30" s="12">
        <v>59311027</v>
      </c>
      <c r="J30" s="13" t="s">
        <v>1444</v>
      </c>
      <c r="K30" s="24">
        <v>467.4</v>
      </c>
      <c r="L30" s="15" t="s">
        <v>172</v>
      </c>
      <c r="M30" s="16">
        <v>16342.105263157895</v>
      </c>
      <c r="N30" s="16">
        <v>0</v>
      </c>
      <c r="O30" s="16">
        <f t="shared" si="1"/>
        <v>7638300</v>
      </c>
      <c r="P30" s="14" t="s">
        <v>34</v>
      </c>
    </row>
    <row r="31" spans="1:16" x14ac:dyDescent="0.3">
      <c r="A31" s="8" t="s">
        <v>728</v>
      </c>
      <c r="B31" s="9">
        <v>1491804</v>
      </c>
      <c r="C31" s="10" t="s">
        <v>734</v>
      </c>
      <c r="D31" s="11">
        <v>43927</v>
      </c>
      <c r="E31" s="11">
        <v>43928</v>
      </c>
      <c r="F31" s="31">
        <v>82970740</v>
      </c>
      <c r="G31" s="32">
        <v>0</v>
      </c>
      <c r="H31" s="8" t="s">
        <v>735</v>
      </c>
      <c r="I31" s="12">
        <v>59311027</v>
      </c>
      <c r="J31" s="13" t="s">
        <v>33</v>
      </c>
      <c r="K31" s="24">
        <v>7.5</v>
      </c>
      <c r="L31" s="15" t="s">
        <v>172</v>
      </c>
      <c r="M31" s="16">
        <v>27600</v>
      </c>
      <c r="N31" s="16">
        <v>0</v>
      </c>
      <c r="O31" s="16">
        <f t="shared" si="1"/>
        <v>207000</v>
      </c>
      <c r="P31" s="14" t="s">
        <v>34</v>
      </c>
    </row>
    <row r="32" spans="1:16" x14ac:dyDescent="0.3">
      <c r="A32" s="8" t="s">
        <v>728</v>
      </c>
      <c r="B32" s="9">
        <v>1574446</v>
      </c>
      <c r="C32" s="10" t="s">
        <v>744</v>
      </c>
      <c r="D32" s="11">
        <v>43970</v>
      </c>
      <c r="E32" s="11">
        <v>43971</v>
      </c>
      <c r="F32" s="31">
        <v>5488560</v>
      </c>
      <c r="G32" s="32">
        <v>0</v>
      </c>
      <c r="H32" s="8" t="s">
        <v>745</v>
      </c>
      <c r="I32" s="12">
        <v>901143417</v>
      </c>
      <c r="J32" s="13" t="s">
        <v>33</v>
      </c>
      <c r="K32" s="24">
        <v>302.39999999999998</v>
      </c>
      <c r="L32" s="15" t="s">
        <v>172</v>
      </c>
      <c r="M32" s="16">
        <v>18150</v>
      </c>
      <c r="N32" s="16">
        <v>0</v>
      </c>
      <c r="O32" s="16">
        <f t="shared" si="1"/>
        <v>5488560</v>
      </c>
      <c r="P32" s="14" t="s">
        <v>34</v>
      </c>
    </row>
    <row r="33" spans="1:16" x14ac:dyDescent="0.3">
      <c r="A33" s="8" t="s">
        <v>728</v>
      </c>
      <c r="B33" s="9" t="s">
        <v>757</v>
      </c>
      <c r="C33" s="10" t="s">
        <v>756</v>
      </c>
      <c r="D33" s="11">
        <v>43970</v>
      </c>
      <c r="E33" s="11">
        <v>43970</v>
      </c>
      <c r="F33" s="31">
        <v>8422110</v>
      </c>
      <c r="G33" s="32">
        <v>0</v>
      </c>
      <c r="H33" s="8" t="s">
        <v>185</v>
      </c>
      <c r="I33" s="12">
        <v>10125834</v>
      </c>
      <c r="J33" s="13" t="s">
        <v>1445</v>
      </c>
      <c r="K33" s="24">
        <v>750</v>
      </c>
      <c r="L33" s="15" t="s">
        <v>172</v>
      </c>
      <c r="M33" s="16">
        <v>11229.48</v>
      </c>
      <c r="N33" s="16">
        <v>0</v>
      </c>
      <c r="O33" s="16">
        <f t="shared" si="1"/>
        <v>8422110</v>
      </c>
      <c r="P33" s="14" t="s">
        <v>34</v>
      </c>
    </row>
    <row r="34" spans="1:16" x14ac:dyDescent="0.3">
      <c r="A34" s="8" t="s">
        <v>728</v>
      </c>
      <c r="B34" s="9" t="s">
        <v>761</v>
      </c>
      <c r="C34" s="10" t="s">
        <v>759</v>
      </c>
      <c r="D34" s="11">
        <v>43970</v>
      </c>
      <c r="E34" s="11">
        <v>43970</v>
      </c>
      <c r="F34" s="31">
        <v>12512562</v>
      </c>
      <c r="G34" s="32">
        <v>0</v>
      </c>
      <c r="H34" s="8" t="s">
        <v>51</v>
      </c>
      <c r="I34" s="12">
        <v>8300013381</v>
      </c>
      <c r="J34" s="13" t="s">
        <v>1446</v>
      </c>
      <c r="K34" s="24">
        <v>1135.5</v>
      </c>
      <c r="L34" s="15" t="s">
        <v>172</v>
      </c>
      <c r="M34" s="16">
        <v>11019.429326287978</v>
      </c>
      <c r="N34" s="16">
        <v>0</v>
      </c>
      <c r="O34" s="16">
        <f t="shared" si="1"/>
        <v>12512562</v>
      </c>
      <c r="P34" s="14" t="s">
        <v>34</v>
      </c>
    </row>
    <row r="35" spans="1:16" x14ac:dyDescent="0.3">
      <c r="A35" s="8" t="s">
        <v>1231</v>
      </c>
      <c r="B35" s="9" t="s">
        <v>1232</v>
      </c>
      <c r="C35" s="17" t="s">
        <v>1233</v>
      </c>
      <c r="D35" s="11">
        <v>43915</v>
      </c>
      <c r="E35" s="11">
        <v>43916</v>
      </c>
      <c r="F35" s="31">
        <v>79231499</v>
      </c>
      <c r="G35" s="32">
        <v>0</v>
      </c>
      <c r="H35" s="8" t="s">
        <v>1234</v>
      </c>
      <c r="I35" s="12">
        <v>900916649</v>
      </c>
      <c r="J35" s="13" t="s">
        <v>1441</v>
      </c>
      <c r="K35" s="24">
        <v>456</v>
      </c>
      <c r="L35" s="18" t="s">
        <v>172</v>
      </c>
      <c r="M35" s="16">
        <v>26315.789473600002</v>
      </c>
      <c r="N35" s="16">
        <v>0</v>
      </c>
      <c r="O35" s="16">
        <f t="shared" si="1"/>
        <v>11999999.999961602</v>
      </c>
      <c r="P35" s="14" t="s">
        <v>34</v>
      </c>
    </row>
    <row r="36" spans="1:16" x14ac:dyDescent="0.3">
      <c r="A36" s="8" t="s">
        <v>885</v>
      </c>
      <c r="B36" s="9" t="s">
        <v>921</v>
      </c>
      <c r="C36" s="17" t="s">
        <v>922</v>
      </c>
      <c r="D36" s="11">
        <v>43923</v>
      </c>
      <c r="E36" s="11">
        <v>43924</v>
      </c>
      <c r="F36" s="31">
        <v>3441440</v>
      </c>
      <c r="G36" s="32">
        <v>0</v>
      </c>
      <c r="H36" s="8" t="s">
        <v>917</v>
      </c>
      <c r="I36" s="12">
        <v>815004985</v>
      </c>
      <c r="J36" s="13" t="s">
        <v>33</v>
      </c>
      <c r="K36" s="24">
        <v>80</v>
      </c>
      <c r="L36" s="18" t="s">
        <v>172</v>
      </c>
      <c r="M36" s="16">
        <v>43018</v>
      </c>
      <c r="N36" s="16"/>
      <c r="O36" s="16">
        <f t="shared" si="1"/>
        <v>3441440</v>
      </c>
      <c r="P36" s="19" t="s">
        <v>34</v>
      </c>
    </row>
    <row r="37" spans="1:16" x14ac:dyDescent="0.3">
      <c r="A37" s="8" t="s">
        <v>885</v>
      </c>
      <c r="B37" s="9" t="s">
        <v>930</v>
      </c>
      <c r="C37" s="17" t="s">
        <v>931</v>
      </c>
      <c r="D37" s="11">
        <v>43941</v>
      </c>
      <c r="E37" s="11">
        <v>43942</v>
      </c>
      <c r="F37" s="31">
        <v>7770000</v>
      </c>
      <c r="G37" s="32">
        <v>0</v>
      </c>
      <c r="H37" s="8" t="s">
        <v>924</v>
      </c>
      <c r="I37" s="12">
        <v>901285199</v>
      </c>
      <c r="J37" s="13" t="s">
        <v>1442</v>
      </c>
      <c r="K37" s="24">
        <v>400</v>
      </c>
      <c r="L37" s="18" t="s">
        <v>172</v>
      </c>
      <c r="M37" s="16">
        <v>18000</v>
      </c>
      <c r="N37" s="16">
        <v>0</v>
      </c>
      <c r="O37" s="16">
        <f t="shared" si="1"/>
        <v>7200000</v>
      </c>
      <c r="P37" s="19" t="s">
        <v>34</v>
      </c>
    </row>
    <row r="38" spans="1:16" x14ac:dyDescent="0.3">
      <c r="A38" s="8" t="s">
        <v>885</v>
      </c>
      <c r="B38" s="9">
        <v>49046</v>
      </c>
      <c r="C38" s="17" t="s">
        <v>950</v>
      </c>
      <c r="D38" s="11">
        <v>43973</v>
      </c>
      <c r="E38" s="11">
        <v>43973</v>
      </c>
      <c r="F38" s="31">
        <v>4502668</v>
      </c>
      <c r="G38" s="32">
        <v>0</v>
      </c>
      <c r="H38" s="8" t="s">
        <v>951</v>
      </c>
      <c r="I38" s="12">
        <v>805023817</v>
      </c>
      <c r="J38" s="13" t="s">
        <v>34</v>
      </c>
      <c r="K38" s="24">
        <v>320</v>
      </c>
      <c r="L38" s="18" t="s">
        <v>172</v>
      </c>
      <c r="M38" s="16">
        <v>14070.8375</v>
      </c>
      <c r="N38" s="16">
        <v>0</v>
      </c>
      <c r="O38" s="16">
        <f t="shared" si="1"/>
        <v>4502668</v>
      </c>
      <c r="P38" s="19" t="s">
        <v>34</v>
      </c>
    </row>
    <row r="39" spans="1:16" x14ac:dyDescent="0.3">
      <c r="A39" s="8" t="s">
        <v>959</v>
      </c>
      <c r="B39" s="9">
        <v>35</v>
      </c>
      <c r="C39" s="10" t="s">
        <v>960</v>
      </c>
      <c r="D39" s="11">
        <v>43477</v>
      </c>
      <c r="E39" s="11">
        <v>43800</v>
      </c>
      <c r="F39" s="31">
        <v>0</v>
      </c>
      <c r="G39" s="32">
        <v>67434392</v>
      </c>
      <c r="H39" s="8" t="s">
        <v>961</v>
      </c>
      <c r="I39" s="12">
        <v>811044253</v>
      </c>
      <c r="J39" s="13" t="s">
        <v>964</v>
      </c>
      <c r="K39" s="24">
        <v>400</v>
      </c>
      <c r="L39" s="15" t="s">
        <v>172</v>
      </c>
      <c r="M39" s="16">
        <v>11127</v>
      </c>
      <c r="N39" s="16">
        <v>0</v>
      </c>
      <c r="O39" s="16">
        <f t="shared" si="1"/>
        <v>4450800</v>
      </c>
      <c r="P39" s="14" t="s">
        <v>34</v>
      </c>
    </row>
    <row r="40" spans="1:16" x14ac:dyDescent="0.3">
      <c r="A40" s="8" t="s">
        <v>976</v>
      </c>
      <c r="B40" s="9" t="s">
        <v>996</v>
      </c>
      <c r="C40" s="10" t="s">
        <v>997</v>
      </c>
      <c r="D40" s="11">
        <v>43979</v>
      </c>
      <c r="E40" s="11">
        <v>43980</v>
      </c>
      <c r="F40" s="31">
        <v>12842000</v>
      </c>
      <c r="G40" s="32">
        <v>0</v>
      </c>
      <c r="H40" s="8" t="s">
        <v>998</v>
      </c>
      <c r="I40" s="12">
        <v>900151140</v>
      </c>
      <c r="J40" s="13" t="s">
        <v>1449</v>
      </c>
      <c r="K40" s="24">
        <v>130.5</v>
      </c>
      <c r="L40" s="15" t="s">
        <v>172</v>
      </c>
      <c r="M40" s="16">
        <v>16667</v>
      </c>
      <c r="N40" s="16">
        <v>0</v>
      </c>
      <c r="O40" s="16">
        <f t="shared" si="1"/>
        <v>2175043.5</v>
      </c>
      <c r="P40" s="14" t="s">
        <v>34</v>
      </c>
    </row>
    <row r="41" spans="1:16" x14ac:dyDescent="0.3">
      <c r="A41" s="8" t="s">
        <v>1055</v>
      </c>
      <c r="B41" s="9" t="s">
        <v>1056</v>
      </c>
      <c r="C41" s="10" t="s">
        <v>1057</v>
      </c>
      <c r="D41" s="11">
        <v>43908</v>
      </c>
      <c r="E41" s="11">
        <v>43908</v>
      </c>
      <c r="F41" s="31">
        <v>11223366</v>
      </c>
      <c r="G41" s="32">
        <v>0</v>
      </c>
      <c r="H41" s="8" t="s">
        <v>19</v>
      </c>
      <c r="I41" s="12">
        <v>901095058</v>
      </c>
      <c r="J41" s="13" t="s">
        <v>1450</v>
      </c>
      <c r="K41" s="24">
        <v>160</v>
      </c>
      <c r="L41" s="18" t="s">
        <v>172</v>
      </c>
      <c r="M41" s="16">
        <v>29571.25</v>
      </c>
      <c r="N41" s="16">
        <f t="shared" ref="N41:N42" si="5">M41*0.19</f>
        <v>5618.5375000000004</v>
      </c>
      <c r="O41" s="16">
        <f t="shared" si="1"/>
        <v>5630366</v>
      </c>
      <c r="P41" s="14" t="s">
        <v>34</v>
      </c>
    </row>
    <row r="42" spans="1:16" x14ac:dyDescent="0.3">
      <c r="A42" s="8" t="s">
        <v>1055</v>
      </c>
      <c r="B42" s="9" t="s">
        <v>1059</v>
      </c>
      <c r="C42" s="10" t="s">
        <v>1060</v>
      </c>
      <c r="D42" s="11">
        <v>43909</v>
      </c>
      <c r="E42" s="11">
        <v>43909</v>
      </c>
      <c r="F42" s="31">
        <v>29028000</v>
      </c>
      <c r="G42" s="32">
        <v>0</v>
      </c>
      <c r="H42" s="8" t="s">
        <v>1061</v>
      </c>
      <c r="I42" s="12">
        <v>900837029</v>
      </c>
      <c r="J42" s="13" t="s">
        <v>1451</v>
      </c>
      <c r="K42" s="24">
        <v>200</v>
      </c>
      <c r="L42" s="15" t="s">
        <v>172</v>
      </c>
      <c r="M42" s="16">
        <v>25000</v>
      </c>
      <c r="N42" s="16">
        <f t="shared" si="5"/>
        <v>4750</v>
      </c>
      <c r="O42" s="16">
        <f t="shared" si="1"/>
        <v>5950000</v>
      </c>
      <c r="P42" s="14" t="s">
        <v>34</v>
      </c>
    </row>
    <row r="43" spans="1:16" x14ac:dyDescent="0.3">
      <c r="A43" s="8" t="s">
        <v>1115</v>
      </c>
      <c r="B43" s="9" t="s">
        <v>1130</v>
      </c>
      <c r="C43" s="10" t="s">
        <v>1131</v>
      </c>
      <c r="D43" s="11">
        <v>43955</v>
      </c>
      <c r="E43" s="11">
        <v>43955</v>
      </c>
      <c r="F43" s="31">
        <v>29306033.280000001</v>
      </c>
      <c r="G43" s="32">
        <v>0</v>
      </c>
      <c r="H43" s="8" t="s">
        <v>1132</v>
      </c>
      <c r="I43" s="12">
        <v>80736955</v>
      </c>
      <c r="J43" s="13" t="s">
        <v>1452</v>
      </c>
      <c r="K43" s="24">
        <v>1656</v>
      </c>
      <c r="L43" s="15" t="s">
        <v>172</v>
      </c>
      <c r="M43" s="16">
        <v>17696.88</v>
      </c>
      <c r="N43" s="16">
        <v>0</v>
      </c>
      <c r="O43" s="16">
        <f t="shared" si="1"/>
        <v>29306033.280000001</v>
      </c>
      <c r="P43" s="19" t="s">
        <v>34</v>
      </c>
    </row>
    <row r="44" spans="1:16" x14ac:dyDescent="0.3">
      <c r="A44" s="8" t="s">
        <v>1115</v>
      </c>
      <c r="B44" s="9" t="s">
        <v>1140</v>
      </c>
      <c r="C44" s="10" t="s">
        <v>1141</v>
      </c>
      <c r="D44" s="11">
        <v>43965</v>
      </c>
      <c r="E44" s="11">
        <v>43965</v>
      </c>
      <c r="F44" s="31">
        <v>3784376</v>
      </c>
      <c r="G44" s="32">
        <v>0</v>
      </c>
      <c r="H44" s="8" t="s">
        <v>224</v>
      </c>
      <c r="I44" s="12">
        <v>900300970</v>
      </c>
      <c r="J44" s="13" t="s">
        <v>1368</v>
      </c>
      <c r="K44" s="24">
        <v>200</v>
      </c>
      <c r="L44" s="15" t="s">
        <v>172</v>
      </c>
      <c r="M44" s="16">
        <v>18921.88</v>
      </c>
      <c r="N44" s="16">
        <v>0</v>
      </c>
      <c r="O44" s="16">
        <f t="shared" si="1"/>
        <v>3784376</v>
      </c>
      <c r="P44" s="19" t="s">
        <v>34</v>
      </c>
    </row>
    <row r="45" spans="1:16" x14ac:dyDescent="0.3">
      <c r="A45" s="8" t="s">
        <v>1161</v>
      </c>
      <c r="B45" s="9" t="s">
        <v>1162</v>
      </c>
      <c r="C45" s="10" t="s">
        <v>1163</v>
      </c>
      <c r="D45" s="11">
        <v>43914</v>
      </c>
      <c r="E45" s="11">
        <v>43914</v>
      </c>
      <c r="F45" s="31">
        <v>6674000</v>
      </c>
      <c r="G45" s="32">
        <v>0</v>
      </c>
      <c r="H45" s="8" t="s">
        <v>1164</v>
      </c>
      <c r="I45" s="12">
        <v>901244133</v>
      </c>
      <c r="J45" s="13" t="s">
        <v>1165</v>
      </c>
      <c r="K45" s="24">
        <v>220</v>
      </c>
      <c r="L45" s="15" t="s">
        <v>172</v>
      </c>
      <c r="M45" s="16">
        <f>29900/1.19</f>
        <v>25126.050420168067</v>
      </c>
      <c r="N45" s="16">
        <f>M45*0.19</f>
        <v>4773.9495798319331</v>
      </c>
      <c r="O45" s="16">
        <f t="shared" si="1"/>
        <v>6578000</v>
      </c>
      <c r="P45" s="14" t="s">
        <v>34</v>
      </c>
    </row>
    <row r="46" spans="1:16" x14ac:dyDescent="0.3">
      <c r="A46" s="8" t="s">
        <v>1161</v>
      </c>
      <c r="B46" s="9" t="s">
        <v>1175</v>
      </c>
      <c r="C46" s="10" t="s">
        <v>1176</v>
      </c>
      <c r="D46" s="11">
        <v>43965</v>
      </c>
      <c r="E46" s="11">
        <v>43965</v>
      </c>
      <c r="F46" s="31">
        <v>6139500</v>
      </c>
      <c r="G46" s="32">
        <v>0</v>
      </c>
      <c r="H46" s="8" t="s">
        <v>224</v>
      </c>
      <c r="I46" s="12">
        <v>900300970</v>
      </c>
      <c r="J46" s="13" t="s">
        <v>1177</v>
      </c>
      <c r="K46" s="24">
        <v>200</v>
      </c>
      <c r="L46" s="15" t="s">
        <v>172</v>
      </c>
      <c r="M46" s="16">
        <v>15525</v>
      </c>
      <c r="N46" s="16">
        <v>0</v>
      </c>
      <c r="O46" s="16">
        <f t="shared" si="1"/>
        <v>3105000</v>
      </c>
      <c r="P46" s="14" t="s">
        <v>34</v>
      </c>
    </row>
  </sheetData>
  <dataValidations count="13">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2 A2:B2 D4:E4 E6:E7 E9:E10 E12 E18 E21:E22 E26 E36:E37 E39:E40 E42:E43 D44:I46 A44:B46">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3:E3 D8:E8 D11:E11 D17:E17 D23:E25 D27:E3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H9 H11:H12 H17:H19 H21:H26 H35 H40 H42:H4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5:I7 I10:I12 I18:I19 I22 I26 I35 I40 I42:I4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10 A12:A19 A21:A25 A35 A4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5:F7 F9 F12 F18 F21:F22 F26 F39:F40 F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6:B8 B12 B17:B18 B20:B26 B4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6:D7 D9 D12 D18 D19:E19 D20:D22 D26 D36:D37 D38:E38 D39:D40 D42:D4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8 F11 F17 F24:F25 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8:I9">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1 B3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3:G16 G35">
      <formula1>-9223372036854770000</formula1>
      <formula2>9223372036854770000</formula2>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8" width="13.1093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1289</v>
      </c>
      <c r="B2" s="9" t="s">
        <v>1290</v>
      </c>
      <c r="C2" s="17" t="s">
        <v>1291</v>
      </c>
      <c r="D2" s="11">
        <v>43908</v>
      </c>
      <c r="E2" s="11">
        <v>43908</v>
      </c>
      <c r="F2" s="31">
        <v>7176804</v>
      </c>
      <c r="G2" s="32">
        <v>0</v>
      </c>
      <c r="H2" s="8" t="s">
        <v>1292</v>
      </c>
      <c r="I2" s="12">
        <v>800031358</v>
      </c>
      <c r="J2" s="13" t="s">
        <v>1294</v>
      </c>
      <c r="K2" s="14">
        <v>18</v>
      </c>
      <c r="L2" s="18" t="s">
        <v>531</v>
      </c>
      <c r="M2" s="16">
        <v>14000.000000000002</v>
      </c>
      <c r="N2" s="16">
        <f t="shared" ref="N2:N3" si="0">M2*0.19</f>
        <v>2660.0000000000005</v>
      </c>
      <c r="O2" s="16">
        <f t="shared" ref="O2:O3" si="1">K2*(M2+N2)</f>
        <v>299880.00000000006</v>
      </c>
      <c r="P2" s="19" t="s">
        <v>23</v>
      </c>
    </row>
    <row r="3" spans="1:16" x14ac:dyDescent="0.3">
      <c r="A3" s="8" t="s">
        <v>1289</v>
      </c>
      <c r="B3" s="9" t="s">
        <v>1290</v>
      </c>
      <c r="C3" s="17" t="s">
        <v>1291</v>
      </c>
      <c r="D3" s="11">
        <v>43908</v>
      </c>
      <c r="E3" s="11">
        <v>43908</v>
      </c>
      <c r="F3" s="31">
        <v>7176804</v>
      </c>
      <c r="G3" s="32">
        <v>0</v>
      </c>
      <c r="H3" s="8" t="s">
        <v>1292</v>
      </c>
      <c r="I3" s="12">
        <v>800031358</v>
      </c>
      <c r="J3" s="13" t="s">
        <v>1295</v>
      </c>
      <c r="K3" s="14">
        <v>18</v>
      </c>
      <c r="L3" s="18" t="s">
        <v>531</v>
      </c>
      <c r="M3" s="16">
        <v>14000.000000000002</v>
      </c>
      <c r="N3" s="16">
        <f t="shared" si="0"/>
        <v>2660.0000000000005</v>
      </c>
      <c r="O3" s="16">
        <f t="shared" si="1"/>
        <v>299880.00000000006</v>
      </c>
      <c r="P3" s="19" t="s">
        <v>23</v>
      </c>
    </row>
    <row r="4" spans="1:16" x14ac:dyDescent="0.3">
      <c r="A4" s="8" t="s">
        <v>86</v>
      </c>
      <c r="B4" s="9" t="s">
        <v>90</v>
      </c>
      <c r="C4" s="10" t="s">
        <v>91</v>
      </c>
      <c r="D4" s="11">
        <v>43916</v>
      </c>
      <c r="E4" s="11">
        <v>43920</v>
      </c>
      <c r="F4" s="31">
        <v>219927500</v>
      </c>
      <c r="G4" s="32">
        <v>0</v>
      </c>
      <c r="H4" s="8" t="s">
        <v>92</v>
      </c>
      <c r="I4" s="12">
        <v>900521780</v>
      </c>
      <c r="J4" s="13" t="s">
        <v>99</v>
      </c>
      <c r="K4" s="14">
        <v>1500</v>
      </c>
      <c r="L4" s="15" t="s">
        <v>531</v>
      </c>
      <c r="M4" s="16">
        <v>19500</v>
      </c>
      <c r="N4" s="16">
        <v>0</v>
      </c>
      <c r="O4" s="16">
        <f t="shared" ref="O4:O9" si="2">K4*(M4+N4)</f>
        <v>29250000</v>
      </c>
      <c r="P4" s="14" t="s">
        <v>23</v>
      </c>
    </row>
    <row r="5" spans="1:16" x14ac:dyDescent="0.3">
      <c r="A5" s="8" t="s">
        <v>320</v>
      </c>
      <c r="B5" s="9" t="s">
        <v>339</v>
      </c>
      <c r="C5" s="10" t="s">
        <v>340</v>
      </c>
      <c r="D5" s="11" t="s">
        <v>341</v>
      </c>
      <c r="E5" s="11" t="s">
        <v>341</v>
      </c>
      <c r="F5" s="31">
        <v>1560000</v>
      </c>
      <c r="G5" s="32">
        <v>0</v>
      </c>
      <c r="H5" s="8" t="s">
        <v>342</v>
      </c>
      <c r="I5" s="12">
        <v>900353659</v>
      </c>
      <c r="J5" s="13" t="s">
        <v>343</v>
      </c>
      <c r="K5" s="14">
        <v>63</v>
      </c>
      <c r="L5" s="15" t="s">
        <v>531</v>
      </c>
      <c r="M5" s="16">
        <v>20000</v>
      </c>
      <c r="N5" s="16">
        <v>0</v>
      </c>
      <c r="O5" s="16">
        <f t="shared" si="2"/>
        <v>1260000</v>
      </c>
      <c r="P5" s="14" t="s">
        <v>23</v>
      </c>
    </row>
    <row r="6" spans="1:16" x14ac:dyDescent="0.3">
      <c r="A6" s="8" t="s">
        <v>407</v>
      </c>
      <c r="B6" s="9" t="s">
        <v>411</v>
      </c>
      <c r="C6" s="10" t="s">
        <v>1221</v>
      </c>
      <c r="D6" s="11">
        <v>43910</v>
      </c>
      <c r="E6" s="11">
        <v>43910</v>
      </c>
      <c r="F6" s="31">
        <v>9496200</v>
      </c>
      <c r="G6" s="32">
        <v>0</v>
      </c>
      <c r="H6" s="8" t="s">
        <v>412</v>
      </c>
      <c r="I6" s="12">
        <v>890806147</v>
      </c>
      <c r="J6" s="13" t="s">
        <v>413</v>
      </c>
      <c r="K6" s="14">
        <v>80</v>
      </c>
      <c r="L6" s="15" t="s">
        <v>531</v>
      </c>
      <c r="M6" s="16">
        <v>15000</v>
      </c>
      <c r="N6" s="16">
        <f t="shared" ref="N6:N8" si="3">M6*0.19</f>
        <v>2850</v>
      </c>
      <c r="O6" s="16">
        <f t="shared" si="2"/>
        <v>1428000</v>
      </c>
      <c r="P6" s="14" t="s">
        <v>23</v>
      </c>
    </row>
    <row r="7" spans="1:16" x14ac:dyDescent="0.3">
      <c r="A7" s="8" t="s">
        <v>407</v>
      </c>
      <c r="B7" s="9" t="s">
        <v>411</v>
      </c>
      <c r="C7" s="10" t="s">
        <v>1221</v>
      </c>
      <c r="D7" s="11">
        <v>43910</v>
      </c>
      <c r="E7" s="11">
        <v>43910</v>
      </c>
      <c r="F7" s="31">
        <v>9496200</v>
      </c>
      <c r="G7" s="32">
        <v>0</v>
      </c>
      <c r="H7" s="8" t="s">
        <v>412</v>
      </c>
      <c r="I7" s="12">
        <v>890806147</v>
      </c>
      <c r="J7" s="13" t="s">
        <v>414</v>
      </c>
      <c r="K7" s="14">
        <v>116</v>
      </c>
      <c r="L7" s="15" t="s">
        <v>531</v>
      </c>
      <c r="M7" s="16">
        <v>15000</v>
      </c>
      <c r="N7" s="16">
        <f t="shared" si="3"/>
        <v>2850</v>
      </c>
      <c r="O7" s="16">
        <f t="shared" si="2"/>
        <v>2070600</v>
      </c>
      <c r="P7" s="14" t="s">
        <v>23</v>
      </c>
    </row>
    <row r="8" spans="1:16" x14ac:dyDescent="0.3">
      <c r="A8" s="8" t="s">
        <v>490</v>
      </c>
      <c r="B8" s="9" t="s">
        <v>526</v>
      </c>
      <c r="C8" s="10" t="s">
        <v>527</v>
      </c>
      <c r="D8" s="11">
        <v>43920</v>
      </c>
      <c r="E8" s="11">
        <v>43920</v>
      </c>
      <c r="F8" s="31">
        <v>26983488</v>
      </c>
      <c r="G8" s="32">
        <v>0</v>
      </c>
      <c r="H8" s="8" t="s">
        <v>528</v>
      </c>
      <c r="I8" s="12">
        <v>900727931</v>
      </c>
      <c r="J8" s="13" t="s">
        <v>530</v>
      </c>
      <c r="K8" s="14">
        <v>307</v>
      </c>
      <c r="L8" s="15" t="s">
        <v>531</v>
      </c>
      <c r="M8" s="16">
        <v>13600</v>
      </c>
      <c r="N8" s="16">
        <f t="shared" si="3"/>
        <v>2584</v>
      </c>
      <c r="O8" s="16">
        <f t="shared" si="2"/>
        <v>4968488</v>
      </c>
      <c r="P8" s="14" t="s">
        <v>23</v>
      </c>
    </row>
    <row r="9" spans="1:16" x14ac:dyDescent="0.3">
      <c r="A9" s="8" t="s">
        <v>490</v>
      </c>
      <c r="B9" s="9" t="s">
        <v>532</v>
      </c>
      <c r="C9" s="10" t="s">
        <v>527</v>
      </c>
      <c r="D9" s="11">
        <v>43950</v>
      </c>
      <c r="E9" s="11">
        <v>43950</v>
      </c>
      <c r="F9" s="31">
        <v>51899000</v>
      </c>
      <c r="G9" s="32">
        <v>0</v>
      </c>
      <c r="H9" s="8" t="s">
        <v>528</v>
      </c>
      <c r="I9" s="12">
        <v>900727931</v>
      </c>
      <c r="J9" s="13" t="s">
        <v>534</v>
      </c>
      <c r="K9" s="14">
        <v>1305</v>
      </c>
      <c r="L9" s="15" t="s">
        <v>531</v>
      </c>
      <c r="M9" s="16">
        <v>13600</v>
      </c>
      <c r="N9" s="16">
        <v>0</v>
      </c>
      <c r="O9" s="16">
        <f t="shared" si="2"/>
        <v>17748000</v>
      </c>
      <c r="P9" s="14" t="s">
        <v>23</v>
      </c>
    </row>
    <row r="10" spans="1:16" x14ac:dyDescent="0.3">
      <c r="A10" s="8" t="s">
        <v>728</v>
      </c>
      <c r="B10" s="9">
        <v>1491804</v>
      </c>
      <c r="C10" s="10" t="s">
        <v>734</v>
      </c>
      <c r="D10" s="11">
        <v>43927</v>
      </c>
      <c r="E10" s="11">
        <v>43928</v>
      </c>
      <c r="F10" s="31">
        <v>82970740</v>
      </c>
      <c r="G10" s="32">
        <v>0</v>
      </c>
      <c r="H10" s="8" t="s">
        <v>735</v>
      </c>
      <c r="I10" s="12">
        <v>59311027</v>
      </c>
      <c r="J10" s="13" t="s">
        <v>736</v>
      </c>
      <c r="K10" s="14">
        <v>124</v>
      </c>
      <c r="L10" s="15" t="s">
        <v>531</v>
      </c>
      <c r="M10" s="16">
        <v>15650</v>
      </c>
      <c r="N10" s="16">
        <v>0</v>
      </c>
      <c r="O10" s="16">
        <f t="shared" ref="O10:O18" si="4">K10*(M10+N10)</f>
        <v>1940600</v>
      </c>
      <c r="P10" s="14" t="s">
        <v>23</v>
      </c>
    </row>
    <row r="11" spans="1:16" x14ac:dyDescent="0.3">
      <c r="A11" s="8" t="s">
        <v>728</v>
      </c>
      <c r="B11" s="9" t="s">
        <v>746</v>
      </c>
      <c r="C11" s="10" t="s">
        <v>747</v>
      </c>
      <c r="D11" s="11">
        <v>43949</v>
      </c>
      <c r="E11" s="11">
        <v>43949</v>
      </c>
      <c r="F11" s="31">
        <v>4020100</v>
      </c>
      <c r="G11" s="32">
        <v>0</v>
      </c>
      <c r="H11" s="8" t="s">
        <v>748</v>
      </c>
      <c r="I11" s="12">
        <v>900225460</v>
      </c>
      <c r="J11" s="13" t="s">
        <v>23</v>
      </c>
      <c r="K11" s="14">
        <v>200</v>
      </c>
      <c r="L11" s="15" t="s">
        <v>531</v>
      </c>
      <c r="M11" s="16">
        <v>20100.5</v>
      </c>
      <c r="N11" s="16">
        <v>0</v>
      </c>
      <c r="O11" s="16">
        <f t="shared" si="4"/>
        <v>4020100</v>
      </c>
      <c r="P11" s="14" t="s">
        <v>23</v>
      </c>
    </row>
    <row r="12" spans="1:16" x14ac:dyDescent="0.3">
      <c r="A12" s="8" t="s">
        <v>885</v>
      </c>
      <c r="B12" s="9" t="s">
        <v>909</v>
      </c>
      <c r="C12" s="17" t="s">
        <v>910</v>
      </c>
      <c r="D12" s="11">
        <v>43917</v>
      </c>
      <c r="E12" s="11">
        <v>43910</v>
      </c>
      <c r="F12" s="31">
        <v>1911550</v>
      </c>
      <c r="G12" s="32">
        <v>0</v>
      </c>
      <c r="H12" s="8" t="s">
        <v>911</v>
      </c>
      <c r="I12" s="12">
        <v>12109146</v>
      </c>
      <c r="J12" s="13" t="s">
        <v>913</v>
      </c>
      <c r="K12" s="14">
        <v>50</v>
      </c>
      <c r="L12" s="15" t="s">
        <v>531</v>
      </c>
      <c r="M12" s="16">
        <v>15966.6</v>
      </c>
      <c r="N12" s="16">
        <f t="shared" ref="N12:N13" si="5">M12*0.19</f>
        <v>3033.654</v>
      </c>
      <c r="O12" s="16">
        <f t="shared" si="4"/>
        <v>950012.70000000007</v>
      </c>
      <c r="P12" s="19" t="s">
        <v>23</v>
      </c>
    </row>
    <row r="13" spans="1:16" x14ac:dyDescent="0.3">
      <c r="A13" s="8" t="s">
        <v>885</v>
      </c>
      <c r="B13" s="9" t="s">
        <v>909</v>
      </c>
      <c r="C13" s="17" t="s">
        <v>910</v>
      </c>
      <c r="D13" s="11">
        <v>43917</v>
      </c>
      <c r="E13" s="11">
        <v>43910</v>
      </c>
      <c r="F13" s="31">
        <v>1911550</v>
      </c>
      <c r="G13" s="32">
        <v>0</v>
      </c>
      <c r="H13" s="8" t="s">
        <v>911</v>
      </c>
      <c r="I13" s="12">
        <v>12109146</v>
      </c>
      <c r="J13" s="13" t="s">
        <v>914</v>
      </c>
      <c r="K13" s="14">
        <v>10</v>
      </c>
      <c r="L13" s="15" t="s">
        <v>531</v>
      </c>
      <c r="M13" s="16">
        <v>15966.6</v>
      </c>
      <c r="N13" s="16">
        <f t="shared" si="5"/>
        <v>3033.654</v>
      </c>
      <c r="O13" s="16">
        <f t="shared" si="4"/>
        <v>190002.54</v>
      </c>
      <c r="P13" s="19" t="s">
        <v>23</v>
      </c>
    </row>
    <row r="14" spans="1:16" x14ac:dyDescent="0.3">
      <c r="A14" s="8" t="s">
        <v>885</v>
      </c>
      <c r="B14" s="9" t="s">
        <v>915</v>
      </c>
      <c r="C14" s="17" t="s">
        <v>916</v>
      </c>
      <c r="D14" s="11">
        <v>43917</v>
      </c>
      <c r="E14" s="11">
        <v>43917</v>
      </c>
      <c r="F14" s="31">
        <v>1832949</v>
      </c>
      <c r="G14" s="32">
        <v>0</v>
      </c>
      <c r="H14" s="8" t="s">
        <v>917</v>
      </c>
      <c r="I14" s="12">
        <v>815004985</v>
      </c>
      <c r="J14" s="13" t="s">
        <v>918</v>
      </c>
      <c r="K14" s="14">
        <v>21</v>
      </c>
      <c r="L14" s="15" t="s">
        <v>531</v>
      </c>
      <c r="M14" s="16">
        <v>20276</v>
      </c>
      <c r="N14" s="16">
        <v>0</v>
      </c>
      <c r="O14" s="16">
        <f t="shared" si="4"/>
        <v>425796</v>
      </c>
      <c r="P14" s="19" t="s">
        <v>23</v>
      </c>
    </row>
    <row r="15" spans="1:16" x14ac:dyDescent="0.3">
      <c r="A15" s="8" t="s">
        <v>885</v>
      </c>
      <c r="B15" s="9" t="s">
        <v>915</v>
      </c>
      <c r="C15" s="17" t="s">
        <v>916</v>
      </c>
      <c r="D15" s="11">
        <v>43917</v>
      </c>
      <c r="E15" s="11">
        <v>43917</v>
      </c>
      <c r="F15" s="31">
        <v>1832949</v>
      </c>
      <c r="G15" s="32">
        <v>0</v>
      </c>
      <c r="H15" s="8" t="s">
        <v>917</v>
      </c>
      <c r="I15" s="12">
        <v>815004985</v>
      </c>
      <c r="J15" s="13" t="s">
        <v>919</v>
      </c>
      <c r="K15" s="14">
        <v>19</v>
      </c>
      <c r="L15" s="15" t="s">
        <v>531</v>
      </c>
      <c r="M15" s="16">
        <v>20276</v>
      </c>
      <c r="N15" s="16">
        <v>0</v>
      </c>
      <c r="O15" s="16">
        <f t="shared" si="4"/>
        <v>385244</v>
      </c>
      <c r="P15" s="19" t="s">
        <v>23</v>
      </c>
    </row>
    <row r="16" spans="1:16" x14ac:dyDescent="0.3">
      <c r="A16" s="8" t="s">
        <v>885</v>
      </c>
      <c r="B16" s="9" t="s">
        <v>930</v>
      </c>
      <c r="C16" s="17" t="s">
        <v>931</v>
      </c>
      <c r="D16" s="11">
        <v>43941</v>
      </c>
      <c r="E16" s="11">
        <v>43942</v>
      </c>
      <c r="F16" s="31">
        <v>7770000</v>
      </c>
      <c r="G16" s="32">
        <v>0</v>
      </c>
      <c r="H16" s="8" t="s">
        <v>924</v>
      </c>
      <c r="I16" s="12">
        <v>901285199</v>
      </c>
      <c r="J16" s="13" t="s">
        <v>932</v>
      </c>
      <c r="K16" s="14">
        <v>30</v>
      </c>
      <c r="L16" s="15" t="s">
        <v>531</v>
      </c>
      <c r="M16" s="16">
        <v>19000</v>
      </c>
      <c r="N16" s="16">
        <v>0</v>
      </c>
      <c r="O16" s="16">
        <f t="shared" si="4"/>
        <v>570000</v>
      </c>
      <c r="P16" s="19" t="s">
        <v>23</v>
      </c>
    </row>
    <row r="17" spans="1:16" x14ac:dyDescent="0.3">
      <c r="A17" s="8" t="s">
        <v>976</v>
      </c>
      <c r="B17" s="9" t="s">
        <v>977</v>
      </c>
      <c r="C17" s="10" t="s">
        <v>978</v>
      </c>
      <c r="D17" s="11">
        <v>43914</v>
      </c>
      <c r="E17" s="11">
        <v>43914</v>
      </c>
      <c r="F17" s="31">
        <v>19313663</v>
      </c>
      <c r="G17" s="32">
        <v>0</v>
      </c>
      <c r="H17" s="8" t="s">
        <v>979</v>
      </c>
      <c r="I17" s="12">
        <v>92511814</v>
      </c>
      <c r="J17" s="13" t="s">
        <v>1248</v>
      </c>
      <c r="K17" s="14">
        <v>10</v>
      </c>
      <c r="L17" s="15" t="s">
        <v>531</v>
      </c>
      <c r="M17" s="16">
        <v>45000</v>
      </c>
      <c r="N17" s="16">
        <f>M17*0.19</f>
        <v>8550</v>
      </c>
      <c r="O17" s="16">
        <f t="shared" si="4"/>
        <v>535500</v>
      </c>
      <c r="P17" s="14" t="s">
        <v>23</v>
      </c>
    </row>
    <row r="18" spans="1:16" x14ac:dyDescent="0.3">
      <c r="A18" s="8" t="s">
        <v>1115</v>
      </c>
      <c r="B18" s="9">
        <v>3</v>
      </c>
      <c r="C18" s="10" t="s">
        <v>1121</v>
      </c>
      <c r="D18" s="11">
        <v>43934</v>
      </c>
      <c r="E18" s="11">
        <v>43936</v>
      </c>
      <c r="F18" s="31">
        <v>5650000</v>
      </c>
      <c r="G18" s="32">
        <v>0</v>
      </c>
      <c r="H18" s="8" t="s">
        <v>1122</v>
      </c>
      <c r="I18" s="12">
        <v>34535703</v>
      </c>
      <c r="J18" s="13" t="s">
        <v>1123</v>
      </c>
      <c r="K18" s="14">
        <v>200</v>
      </c>
      <c r="L18" s="15" t="s">
        <v>531</v>
      </c>
      <c r="M18" s="16">
        <v>28250</v>
      </c>
      <c r="N18" s="16">
        <v>0</v>
      </c>
      <c r="O18" s="16">
        <f t="shared" si="4"/>
        <v>5650000</v>
      </c>
      <c r="P18" s="19" t="s">
        <v>23</v>
      </c>
    </row>
  </sheetData>
  <dataValidations count="13">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3 D2:I3 E4 E1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 B8 B16:B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H5 H8:H9 H16:H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9 A16:A1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 F1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 D9:E9 D15 D17:E1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5">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5:G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5 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5 I9 I16 I18">
      <formula1>-999999999</formula1>
      <formula2>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D5:E5 D8:E8 D10:E11 D16:E16 D18:E18">
      <formula1>1900/1/1</formula1>
      <formula2>3000/1/1</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684"/>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style="30" customWidth="1"/>
    <col min="7" max="7" width="18.33203125" style="30" customWidth="1"/>
    <col min="8" max="8" width="17.109375" customWidth="1"/>
    <col min="9" max="9" width="19.33203125" customWidth="1"/>
    <col min="10" max="10" width="38.109375" customWidth="1"/>
    <col min="11" max="11" width="12.6640625" style="25" customWidth="1"/>
    <col min="12" max="12" width="28.109375" style="35" customWidth="1"/>
    <col min="13" max="13" width="19" style="26" customWidth="1"/>
    <col min="14" max="14" width="15.6640625" style="26" customWidth="1"/>
    <col min="15" max="15" width="18" style="26" customWidth="1"/>
    <col min="16" max="16" width="48" customWidth="1"/>
    <col min="17" max="17" width="13.6640625"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17</v>
      </c>
      <c r="C2" s="10" t="s">
        <v>18</v>
      </c>
      <c r="D2" s="11">
        <v>43910</v>
      </c>
      <c r="E2" s="11">
        <v>43910</v>
      </c>
      <c r="F2" s="31">
        <v>2573970</v>
      </c>
      <c r="G2" s="32">
        <v>0</v>
      </c>
      <c r="H2" s="8" t="s">
        <v>19</v>
      </c>
      <c r="I2" s="12">
        <v>901095058</v>
      </c>
      <c r="J2" s="13" t="s">
        <v>20</v>
      </c>
      <c r="K2" s="14">
        <v>100</v>
      </c>
      <c r="L2" s="15" t="s">
        <v>250</v>
      </c>
      <c r="M2" s="16">
        <v>15700</v>
      </c>
      <c r="N2" s="16">
        <f t="shared" ref="N2:N7" si="0">M2*0.19</f>
        <v>2983</v>
      </c>
      <c r="O2" s="16">
        <f t="shared" ref="O2:O62" si="1">K2*(M2+N2)</f>
        <v>1868300</v>
      </c>
      <c r="P2" s="14" t="s">
        <v>21</v>
      </c>
    </row>
    <row r="3" spans="1:16" x14ac:dyDescent="0.3">
      <c r="A3" s="8" t="s">
        <v>16</v>
      </c>
      <c r="B3" s="9" t="s">
        <v>17</v>
      </c>
      <c r="C3" s="10" t="s">
        <v>18</v>
      </c>
      <c r="D3" s="11">
        <v>43910</v>
      </c>
      <c r="E3" s="11">
        <v>43910</v>
      </c>
      <c r="F3" s="31">
        <v>2573970</v>
      </c>
      <c r="G3" s="32">
        <v>0</v>
      </c>
      <c r="H3" s="8" t="s">
        <v>19</v>
      </c>
      <c r="I3" s="12">
        <v>901095058</v>
      </c>
      <c r="J3" s="13" t="s">
        <v>22</v>
      </c>
      <c r="K3" s="14">
        <v>12</v>
      </c>
      <c r="L3" s="21" t="s">
        <v>1250</v>
      </c>
      <c r="M3" s="16">
        <v>6500</v>
      </c>
      <c r="N3" s="16">
        <f t="shared" si="0"/>
        <v>1235</v>
      </c>
      <c r="O3" s="16">
        <f t="shared" si="1"/>
        <v>92820</v>
      </c>
      <c r="P3" s="19" t="s">
        <v>1389</v>
      </c>
    </row>
    <row r="4" spans="1:16" x14ac:dyDescent="0.3">
      <c r="A4" s="8" t="s">
        <v>16</v>
      </c>
      <c r="B4" s="9" t="s">
        <v>17</v>
      </c>
      <c r="C4" s="10" t="s">
        <v>18</v>
      </c>
      <c r="D4" s="11">
        <v>43910</v>
      </c>
      <c r="E4" s="11">
        <v>43910</v>
      </c>
      <c r="F4" s="31">
        <v>2573970</v>
      </c>
      <c r="G4" s="32">
        <v>0</v>
      </c>
      <c r="H4" s="8" t="s">
        <v>19</v>
      </c>
      <c r="I4" s="12">
        <v>901095058</v>
      </c>
      <c r="J4" s="13" t="s">
        <v>24</v>
      </c>
      <c r="K4" s="14">
        <v>50</v>
      </c>
      <c r="L4" s="15" t="s">
        <v>250</v>
      </c>
      <c r="M4" s="16">
        <v>10300</v>
      </c>
      <c r="N4" s="16">
        <f t="shared" si="0"/>
        <v>1957</v>
      </c>
      <c r="O4" s="16">
        <f t="shared" si="1"/>
        <v>612850</v>
      </c>
      <c r="P4" s="14" t="s">
        <v>25</v>
      </c>
    </row>
    <row r="5" spans="1:16" x14ac:dyDescent="0.3">
      <c r="A5" s="8" t="s">
        <v>16</v>
      </c>
      <c r="B5" s="9" t="s">
        <v>26</v>
      </c>
      <c r="C5" s="10" t="s">
        <v>27</v>
      </c>
      <c r="D5" s="11">
        <v>43916</v>
      </c>
      <c r="E5" s="11">
        <v>43919</v>
      </c>
      <c r="F5" s="31">
        <v>7000000</v>
      </c>
      <c r="G5" s="32">
        <v>0</v>
      </c>
      <c r="H5" s="8" t="s">
        <v>28</v>
      </c>
      <c r="I5" s="12">
        <v>900173793</v>
      </c>
      <c r="J5" s="13" t="s">
        <v>29</v>
      </c>
      <c r="K5" s="14">
        <v>7000</v>
      </c>
      <c r="L5" s="15" t="s">
        <v>250</v>
      </c>
      <c r="M5" s="16">
        <v>840.33609999999999</v>
      </c>
      <c r="N5" s="16">
        <f t="shared" si="0"/>
        <v>159.663859</v>
      </c>
      <c r="O5" s="16">
        <f t="shared" si="1"/>
        <v>6999999.7129999995</v>
      </c>
      <c r="P5" s="14" t="s">
        <v>95</v>
      </c>
    </row>
    <row r="6" spans="1:16" x14ac:dyDescent="0.3">
      <c r="A6" s="8" t="s">
        <v>16</v>
      </c>
      <c r="B6" s="9" t="s">
        <v>30</v>
      </c>
      <c r="C6" s="10" t="s">
        <v>31</v>
      </c>
      <c r="D6" s="11">
        <v>43923</v>
      </c>
      <c r="E6" s="11">
        <v>43928</v>
      </c>
      <c r="F6" s="31">
        <v>11804524</v>
      </c>
      <c r="G6" s="32">
        <v>0</v>
      </c>
      <c r="H6" s="8" t="s">
        <v>32</v>
      </c>
      <c r="I6" s="12">
        <v>900742771</v>
      </c>
      <c r="J6" s="13" t="s">
        <v>33</v>
      </c>
      <c r="K6" s="24">
        <v>760</v>
      </c>
      <c r="L6" s="15" t="s">
        <v>172</v>
      </c>
      <c r="M6" s="16">
        <v>11795.263156999999</v>
      </c>
      <c r="N6" s="16">
        <f t="shared" si="0"/>
        <v>2241.0999998299999</v>
      </c>
      <c r="O6" s="16">
        <f t="shared" si="1"/>
        <v>10667635.9991908</v>
      </c>
      <c r="P6" s="14" t="s">
        <v>34</v>
      </c>
    </row>
    <row r="7" spans="1:16" x14ac:dyDescent="0.3">
      <c r="A7" s="8" t="s">
        <v>16</v>
      </c>
      <c r="B7" s="9" t="s">
        <v>30</v>
      </c>
      <c r="C7" s="10" t="s">
        <v>31</v>
      </c>
      <c r="D7" s="11">
        <v>43923</v>
      </c>
      <c r="E7" s="11">
        <v>43928</v>
      </c>
      <c r="F7" s="31">
        <v>11804524</v>
      </c>
      <c r="G7" s="32">
        <v>0</v>
      </c>
      <c r="H7" s="8" t="s">
        <v>32</v>
      </c>
      <c r="I7" s="12">
        <v>900742771</v>
      </c>
      <c r="J7" s="13" t="s">
        <v>35</v>
      </c>
      <c r="K7" s="14">
        <v>108</v>
      </c>
      <c r="L7" s="15" t="s">
        <v>172</v>
      </c>
      <c r="M7" s="16">
        <v>8846</v>
      </c>
      <c r="N7" s="16">
        <f t="shared" si="0"/>
        <v>1680.74</v>
      </c>
      <c r="O7" s="16">
        <f t="shared" si="1"/>
        <v>1136887.92</v>
      </c>
      <c r="P7" s="14" t="s">
        <v>36</v>
      </c>
    </row>
    <row r="8" spans="1:16" x14ac:dyDescent="0.3">
      <c r="A8" s="8" t="s">
        <v>16</v>
      </c>
      <c r="B8" s="9" t="s">
        <v>37</v>
      </c>
      <c r="C8" s="10" t="s">
        <v>38</v>
      </c>
      <c r="D8" s="11">
        <v>43999</v>
      </c>
      <c r="E8" s="11">
        <v>43999</v>
      </c>
      <c r="F8" s="31">
        <v>42000000</v>
      </c>
      <c r="G8" s="32">
        <v>0</v>
      </c>
      <c r="H8" s="8" t="s">
        <v>39</v>
      </c>
      <c r="I8" s="12">
        <v>890000547</v>
      </c>
      <c r="J8" s="13" t="s">
        <v>1425</v>
      </c>
      <c r="K8" s="14">
        <v>6</v>
      </c>
      <c r="L8" s="15" t="s">
        <v>1281</v>
      </c>
      <c r="M8" s="16">
        <v>2000000</v>
      </c>
      <c r="N8" s="16">
        <v>0</v>
      </c>
      <c r="O8" s="16">
        <f>K8*(M8+N8)*3.5</f>
        <v>42000000</v>
      </c>
      <c r="P8" s="14" t="s">
        <v>1282</v>
      </c>
    </row>
    <row r="9" spans="1:16" x14ac:dyDescent="0.3">
      <c r="A9" s="8" t="s">
        <v>16</v>
      </c>
      <c r="B9" s="9" t="s">
        <v>40</v>
      </c>
      <c r="C9" s="10" t="s">
        <v>41</v>
      </c>
      <c r="D9" s="11">
        <v>43967</v>
      </c>
      <c r="E9" s="11">
        <v>43967</v>
      </c>
      <c r="F9" s="31">
        <v>3675000</v>
      </c>
      <c r="G9" s="32">
        <v>0</v>
      </c>
      <c r="H9" s="8" t="s">
        <v>42</v>
      </c>
      <c r="I9" s="12">
        <v>901243179</v>
      </c>
      <c r="J9" s="13" t="s">
        <v>43</v>
      </c>
      <c r="K9" s="14">
        <v>4000</v>
      </c>
      <c r="L9" s="15" t="s">
        <v>250</v>
      </c>
      <c r="M9" s="16">
        <f>77205.88/100</f>
        <v>772.05880000000002</v>
      </c>
      <c r="N9" s="16">
        <f t="shared" ref="N9:N17" si="2">M9*19%</f>
        <v>146.69117199999999</v>
      </c>
      <c r="O9" s="16">
        <f t="shared" si="1"/>
        <v>3674999.8880000003</v>
      </c>
      <c r="P9" s="14" t="s">
        <v>95</v>
      </c>
    </row>
    <row r="10" spans="1:16" x14ac:dyDescent="0.3">
      <c r="A10" s="8" t="s">
        <v>16</v>
      </c>
      <c r="B10" s="9" t="s">
        <v>44</v>
      </c>
      <c r="C10" s="10" t="s">
        <v>41</v>
      </c>
      <c r="D10" s="11">
        <v>43967</v>
      </c>
      <c r="E10" s="11">
        <v>43967</v>
      </c>
      <c r="F10" s="31">
        <v>2546740</v>
      </c>
      <c r="G10" s="32">
        <v>0</v>
      </c>
      <c r="H10" s="8" t="s">
        <v>45</v>
      </c>
      <c r="I10" s="12">
        <v>900906970</v>
      </c>
      <c r="J10" s="13" t="s">
        <v>46</v>
      </c>
      <c r="K10" s="14">
        <v>130</v>
      </c>
      <c r="L10" s="15" t="s">
        <v>556</v>
      </c>
      <c r="M10" s="16">
        <v>16462.439999999999</v>
      </c>
      <c r="N10" s="16">
        <f t="shared" si="2"/>
        <v>3127.8635999999997</v>
      </c>
      <c r="O10" s="16">
        <f t="shared" si="1"/>
        <v>2546739.4679999999</v>
      </c>
      <c r="P10" s="14" t="s">
        <v>1280</v>
      </c>
    </row>
    <row r="11" spans="1:16" x14ac:dyDescent="0.3">
      <c r="A11" s="8" t="s">
        <v>16</v>
      </c>
      <c r="B11" s="9" t="s">
        <v>47</v>
      </c>
      <c r="C11" s="10" t="s">
        <v>41</v>
      </c>
      <c r="D11" s="11">
        <v>43967</v>
      </c>
      <c r="E11" s="11">
        <v>43967</v>
      </c>
      <c r="F11" s="31">
        <v>7646052</v>
      </c>
      <c r="G11" s="32">
        <v>0</v>
      </c>
      <c r="H11" s="8" t="s">
        <v>48</v>
      </c>
      <c r="I11" s="12">
        <v>900300970</v>
      </c>
      <c r="J11" s="13" t="s">
        <v>49</v>
      </c>
      <c r="K11" s="14">
        <v>400</v>
      </c>
      <c r="L11" s="15" t="s">
        <v>1369</v>
      </c>
      <c r="M11" s="16">
        <v>16063.13</v>
      </c>
      <c r="N11" s="16">
        <f t="shared" si="2"/>
        <v>3051.9946999999997</v>
      </c>
      <c r="O11" s="16">
        <f t="shared" si="1"/>
        <v>7646049.8799999999</v>
      </c>
      <c r="P11" s="14" t="s">
        <v>94</v>
      </c>
    </row>
    <row r="12" spans="1:16" x14ac:dyDescent="0.3">
      <c r="A12" s="8" t="s">
        <v>16</v>
      </c>
      <c r="B12" s="9" t="s">
        <v>50</v>
      </c>
      <c r="C12" s="10" t="s">
        <v>41</v>
      </c>
      <c r="D12" s="11">
        <v>43967</v>
      </c>
      <c r="E12" s="11">
        <v>43967</v>
      </c>
      <c r="F12" s="31">
        <v>12450001</v>
      </c>
      <c r="G12" s="32">
        <v>0</v>
      </c>
      <c r="H12" s="8" t="s">
        <v>51</v>
      </c>
      <c r="I12" s="12">
        <v>830001338</v>
      </c>
      <c r="J12" s="13" t="s">
        <v>33</v>
      </c>
      <c r="K12" s="24">
        <v>1520</v>
      </c>
      <c r="L12" s="15" t="s">
        <v>172</v>
      </c>
      <c r="M12" s="16">
        <v>6883.0169159999996</v>
      </c>
      <c r="N12" s="16">
        <f t="shared" si="2"/>
        <v>1307.7732140399999</v>
      </c>
      <c r="O12" s="16">
        <f t="shared" si="1"/>
        <v>12450000.997660799</v>
      </c>
      <c r="P12" s="14" t="s">
        <v>34</v>
      </c>
    </row>
    <row r="13" spans="1:16" x14ac:dyDescent="0.3">
      <c r="A13" s="8" t="s">
        <v>16</v>
      </c>
      <c r="B13" s="9" t="s">
        <v>52</v>
      </c>
      <c r="C13" s="10" t="s">
        <v>53</v>
      </c>
      <c r="D13" s="11">
        <v>43985</v>
      </c>
      <c r="E13" s="11">
        <v>43985</v>
      </c>
      <c r="F13" s="31">
        <v>3379880</v>
      </c>
      <c r="G13" s="32">
        <v>0</v>
      </c>
      <c r="H13" s="8" t="s">
        <v>54</v>
      </c>
      <c r="I13" s="12">
        <v>890900943</v>
      </c>
      <c r="J13" s="13" t="s">
        <v>55</v>
      </c>
      <c r="K13" s="14">
        <v>7</v>
      </c>
      <c r="L13" s="15" t="s">
        <v>250</v>
      </c>
      <c r="M13" s="16">
        <v>405747.9</v>
      </c>
      <c r="N13" s="16">
        <f t="shared" si="2"/>
        <v>77092.10100000001</v>
      </c>
      <c r="O13" s="16">
        <f t="shared" si="1"/>
        <v>3379880.0070000002</v>
      </c>
      <c r="P13" s="14" t="s">
        <v>1274</v>
      </c>
    </row>
    <row r="14" spans="1:16" x14ac:dyDescent="0.3">
      <c r="A14" s="8" t="s">
        <v>16</v>
      </c>
      <c r="B14" s="9" t="s">
        <v>56</v>
      </c>
      <c r="C14" s="10" t="s">
        <v>57</v>
      </c>
      <c r="D14" s="11">
        <v>43985</v>
      </c>
      <c r="E14" s="11">
        <v>43985</v>
      </c>
      <c r="F14" s="31">
        <v>6047350</v>
      </c>
      <c r="G14" s="32">
        <v>0</v>
      </c>
      <c r="H14" s="8" t="s">
        <v>58</v>
      </c>
      <c r="I14" s="12">
        <v>900350133</v>
      </c>
      <c r="J14" s="13" t="s">
        <v>59</v>
      </c>
      <c r="K14" s="14">
        <v>110</v>
      </c>
      <c r="L14" s="15" t="s">
        <v>531</v>
      </c>
      <c r="M14" s="16">
        <v>46198.239999999998</v>
      </c>
      <c r="N14" s="16">
        <f t="shared" si="2"/>
        <v>8777.6656000000003</v>
      </c>
      <c r="O14" s="16">
        <f t="shared" si="1"/>
        <v>6047349.6159999995</v>
      </c>
      <c r="P14" s="14" t="s">
        <v>59</v>
      </c>
    </row>
    <row r="15" spans="1:16" x14ac:dyDescent="0.3">
      <c r="A15" s="8" t="s">
        <v>16</v>
      </c>
      <c r="B15" s="9" t="s">
        <v>61</v>
      </c>
      <c r="C15" s="10" t="s">
        <v>62</v>
      </c>
      <c r="D15" s="11">
        <v>43987</v>
      </c>
      <c r="E15" s="11">
        <v>43987</v>
      </c>
      <c r="F15" s="31">
        <v>9023000</v>
      </c>
      <c r="G15" s="32">
        <v>0</v>
      </c>
      <c r="H15" s="8" t="s">
        <v>63</v>
      </c>
      <c r="I15" s="12">
        <v>860062147</v>
      </c>
      <c r="J15" s="13" t="s">
        <v>64</v>
      </c>
      <c r="K15" s="14">
        <v>671</v>
      </c>
      <c r="L15" s="15" t="s">
        <v>250</v>
      </c>
      <c r="M15" s="16">
        <v>11300.08</v>
      </c>
      <c r="N15" s="16">
        <f t="shared" si="2"/>
        <v>2147.0151999999998</v>
      </c>
      <c r="O15" s="16">
        <f t="shared" si="1"/>
        <v>9023000.8792000003</v>
      </c>
      <c r="P15" s="14" t="s">
        <v>232</v>
      </c>
    </row>
    <row r="16" spans="1:16" x14ac:dyDescent="0.3">
      <c r="A16" s="8" t="s">
        <v>16</v>
      </c>
      <c r="B16" s="9" t="s">
        <v>65</v>
      </c>
      <c r="C16" s="10" t="s">
        <v>66</v>
      </c>
      <c r="D16" s="11">
        <v>44007</v>
      </c>
      <c r="E16" s="11">
        <v>44007</v>
      </c>
      <c r="F16" s="31">
        <v>1631000</v>
      </c>
      <c r="G16" s="32">
        <v>0</v>
      </c>
      <c r="H16" s="8" t="s">
        <v>54</v>
      </c>
      <c r="I16" s="12">
        <v>890900943</v>
      </c>
      <c r="J16" s="13" t="s">
        <v>67</v>
      </c>
      <c r="K16" s="14">
        <v>7</v>
      </c>
      <c r="L16" s="15" t="s">
        <v>250</v>
      </c>
      <c r="M16" s="16">
        <v>195798.32</v>
      </c>
      <c r="N16" s="16">
        <f t="shared" si="2"/>
        <v>37201.680800000002</v>
      </c>
      <c r="O16" s="16">
        <f t="shared" si="1"/>
        <v>1631000.0056</v>
      </c>
      <c r="P16" s="14" t="s">
        <v>1274</v>
      </c>
    </row>
    <row r="17" spans="1:16" x14ac:dyDescent="0.3">
      <c r="A17" s="8" t="s">
        <v>16</v>
      </c>
      <c r="B17" s="9" t="s">
        <v>68</v>
      </c>
      <c r="C17" s="10" t="s">
        <v>69</v>
      </c>
      <c r="D17" s="11">
        <v>44012</v>
      </c>
      <c r="E17" s="11">
        <v>44012</v>
      </c>
      <c r="F17" s="31">
        <v>11342250</v>
      </c>
      <c r="G17" s="32">
        <v>0</v>
      </c>
      <c r="H17" s="8" t="s">
        <v>54</v>
      </c>
      <c r="I17" s="12">
        <v>890900943</v>
      </c>
      <c r="J17" s="13" t="s">
        <v>70</v>
      </c>
      <c r="K17" s="14">
        <v>45</v>
      </c>
      <c r="L17" s="15" t="s">
        <v>250</v>
      </c>
      <c r="M17" s="16">
        <v>211806.72</v>
      </c>
      <c r="N17" s="16">
        <f t="shared" si="2"/>
        <v>40243.2768</v>
      </c>
      <c r="O17" s="16">
        <f t="shared" si="1"/>
        <v>11342249.856000001</v>
      </c>
      <c r="P17" s="14" t="s">
        <v>1383</v>
      </c>
    </row>
    <row r="18" spans="1:16" x14ac:dyDescent="0.3">
      <c r="A18" s="8" t="s">
        <v>16</v>
      </c>
      <c r="B18" s="9" t="s">
        <v>76</v>
      </c>
      <c r="C18" s="10" t="s">
        <v>77</v>
      </c>
      <c r="D18" s="11">
        <v>44029</v>
      </c>
      <c r="E18" s="11">
        <v>44039</v>
      </c>
      <c r="F18" s="31">
        <v>17828727</v>
      </c>
      <c r="G18" s="32">
        <v>0</v>
      </c>
      <c r="H18" s="8" t="s">
        <v>78</v>
      </c>
      <c r="I18" s="12">
        <v>1030574087</v>
      </c>
      <c r="J18" s="13" t="s">
        <v>79</v>
      </c>
      <c r="K18" s="14">
        <v>60</v>
      </c>
      <c r="L18" s="15" t="s">
        <v>250</v>
      </c>
      <c r="M18" s="16">
        <v>297145.45</v>
      </c>
      <c r="N18" s="16">
        <v>0</v>
      </c>
      <c r="O18" s="16">
        <f t="shared" si="1"/>
        <v>17828727</v>
      </c>
      <c r="P18" s="14" t="s">
        <v>1285</v>
      </c>
    </row>
    <row r="19" spans="1:16" x14ac:dyDescent="0.3">
      <c r="A19" s="8" t="s">
        <v>16</v>
      </c>
      <c r="B19" s="9" t="s">
        <v>80</v>
      </c>
      <c r="C19" s="10" t="s">
        <v>81</v>
      </c>
      <c r="D19" s="11">
        <v>44054</v>
      </c>
      <c r="E19" s="11">
        <v>44075</v>
      </c>
      <c r="F19" s="31">
        <v>37425024</v>
      </c>
      <c r="G19" s="32">
        <v>0</v>
      </c>
      <c r="H19" s="8" t="s">
        <v>82</v>
      </c>
      <c r="I19" s="12">
        <v>830053669</v>
      </c>
      <c r="J19" s="13" t="s">
        <v>1468</v>
      </c>
      <c r="K19" s="14">
        <v>78</v>
      </c>
      <c r="L19" s="15" t="s">
        <v>1284</v>
      </c>
      <c r="M19" s="16">
        <f>134400</f>
        <v>134400</v>
      </c>
      <c r="N19" s="16">
        <f>M19*19%</f>
        <v>25536</v>
      </c>
      <c r="O19" s="16">
        <f>K19*(M19+N19)*3</f>
        <v>37425024</v>
      </c>
      <c r="P19" s="14" t="s">
        <v>1373</v>
      </c>
    </row>
    <row r="20" spans="1:16" x14ac:dyDescent="0.3">
      <c r="A20" s="8" t="s">
        <v>71</v>
      </c>
      <c r="B20" s="9" t="s">
        <v>72</v>
      </c>
      <c r="C20" s="10" t="s">
        <v>73</v>
      </c>
      <c r="D20" s="11">
        <v>44035</v>
      </c>
      <c r="E20" s="11">
        <v>44035</v>
      </c>
      <c r="F20" s="31">
        <v>3474800</v>
      </c>
      <c r="G20" s="32">
        <v>0</v>
      </c>
      <c r="H20" s="8" t="s">
        <v>74</v>
      </c>
      <c r="I20" s="12">
        <v>830037946</v>
      </c>
      <c r="J20" s="13" t="s">
        <v>75</v>
      </c>
      <c r="K20" s="14">
        <v>73</v>
      </c>
      <c r="L20" s="15" t="s">
        <v>250</v>
      </c>
      <c r="M20" s="16">
        <v>47600</v>
      </c>
      <c r="N20" s="16">
        <v>0</v>
      </c>
      <c r="O20" s="16">
        <f t="shared" si="1"/>
        <v>3474800</v>
      </c>
      <c r="P20" s="14" t="s">
        <v>383</v>
      </c>
    </row>
    <row r="21" spans="1:16" x14ac:dyDescent="0.3">
      <c r="A21" s="8" t="s">
        <v>71</v>
      </c>
      <c r="B21" s="9" t="s">
        <v>83</v>
      </c>
      <c r="C21" s="10" t="s">
        <v>84</v>
      </c>
      <c r="D21" s="11">
        <v>44014</v>
      </c>
      <c r="E21" s="11">
        <v>44014</v>
      </c>
      <c r="F21" s="31">
        <v>64760194</v>
      </c>
      <c r="G21" s="32">
        <v>0</v>
      </c>
      <c r="H21" s="8" t="s">
        <v>85</v>
      </c>
      <c r="I21" s="12">
        <v>800242738</v>
      </c>
      <c r="J21" s="13" t="s">
        <v>1469</v>
      </c>
      <c r="K21" s="14">
        <v>13</v>
      </c>
      <c r="L21" s="15" t="s">
        <v>1281</v>
      </c>
      <c r="M21" s="16">
        <v>1258206.6399999999</v>
      </c>
      <c r="N21" s="16">
        <f>M21*19%</f>
        <v>239059.26159999997</v>
      </c>
      <c r="O21" s="16">
        <f>K21*(M21+N21)*3.3271</f>
        <v>64760193.955773689</v>
      </c>
      <c r="P21" s="19" t="s">
        <v>1374</v>
      </c>
    </row>
    <row r="22" spans="1:16" x14ac:dyDescent="0.3">
      <c r="A22" s="8" t="s">
        <v>1289</v>
      </c>
      <c r="B22" s="9" t="s">
        <v>1290</v>
      </c>
      <c r="C22" s="17" t="s">
        <v>1291</v>
      </c>
      <c r="D22" s="11">
        <v>43908</v>
      </c>
      <c r="E22" s="11">
        <v>43908</v>
      </c>
      <c r="F22" s="31">
        <v>7176804</v>
      </c>
      <c r="G22" s="32">
        <v>0</v>
      </c>
      <c r="H22" s="8" t="s">
        <v>1292</v>
      </c>
      <c r="I22" s="12">
        <v>800031358</v>
      </c>
      <c r="J22" s="13" t="s">
        <v>1293</v>
      </c>
      <c r="K22" s="14">
        <v>400</v>
      </c>
      <c r="L22" s="18" t="s">
        <v>172</v>
      </c>
      <c r="M22" s="16">
        <f>43167/20</f>
        <v>2158.35</v>
      </c>
      <c r="N22" s="16">
        <f t="shared" ref="N22:N28" si="3">M22*0.19</f>
        <v>410.0865</v>
      </c>
      <c r="O22" s="16">
        <f>K22*(M22+N22)</f>
        <v>1027374.5999999999</v>
      </c>
      <c r="P22" s="19" t="s">
        <v>1266</v>
      </c>
    </row>
    <row r="23" spans="1:16" x14ac:dyDescent="0.3">
      <c r="A23" s="8" t="s">
        <v>1289</v>
      </c>
      <c r="B23" s="9" t="s">
        <v>1290</v>
      </c>
      <c r="C23" s="17" t="s">
        <v>1291</v>
      </c>
      <c r="D23" s="11">
        <v>43908</v>
      </c>
      <c r="E23" s="11">
        <v>43908</v>
      </c>
      <c r="F23" s="31">
        <v>7176804</v>
      </c>
      <c r="G23" s="32">
        <v>0</v>
      </c>
      <c r="H23" s="8" t="s">
        <v>1292</v>
      </c>
      <c r="I23" s="12">
        <v>800031358</v>
      </c>
      <c r="J23" s="13" t="s">
        <v>1294</v>
      </c>
      <c r="K23" s="14">
        <v>18</v>
      </c>
      <c r="L23" s="18" t="s">
        <v>531</v>
      </c>
      <c r="M23" s="16">
        <v>14000.000000000002</v>
      </c>
      <c r="N23" s="16">
        <f t="shared" si="3"/>
        <v>2660.0000000000005</v>
      </c>
      <c r="O23" s="16">
        <f t="shared" si="1"/>
        <v>299880.00000000006</v>
      </c>
      <c r="P23" s="19" t="s">
        <v>23</v>
      </c>
    </row>
    <row r="24" spans="1:16" x14ac:dyDescent="0.3">
      <c r="A24" s="8" t="s">
        <v>1289</v>
      </c>
      <c r="B24" s="9" t="s">
        <v>1290</v>
      </c>
      <c r="C24" s="17" t="s">
        <v>1291</v>
      </c>
      <c r="D24" s="11">
        <v>43908</v>
      </c>
      <c r="E24" s="11">
        <v>43908</v>
      </c>
      <c r="F24" s="31">
        <v>7176804</v>
      </c>
      <c r="G24" s="32">
        <v>0</v>
      </c>
      <c r="H24" s="8" t="s">
        <v>1292</v>
      </c>
      <c r="I24" s="12">
        <v>800031358</v>
      </c>
      <c r="J24" s="13" t="s">
        <v>1295</v>
      </c>
      <c r="K24" s="14">
        <v>18</v>
      </c>
      <c r="L24" s="18" t="s">
        <v>531</v>
      </c>
      <c r="M24" s="16">
        <v>14000.000000000002</v>
      </c>
      <c r="N24" s="16">
        <f t="shared" si="3"/>
        <v>2660.0000000000005</v>
      </c>
      <c r="O24" s="16">
        <f t="shared" si="1"/>
        <v>299880.00000000006</v>
      </c>
      <c r="P24" s="19" t="s">
        <v>23</v>
      </c>
    </row>
    <row r="25" spans="1:16" x14ac:dyDescent="0.3">
      <c r="A25" s="8" t="s">
        <v>1289</v>
      </c>
      <c r="B25" s="9" t="s">
        <v>1290</v>
      </c>
      <c r="C25" s="17" t="s">
        <v>1291</v>
      </c>
      <c r="D25" s="11">
        <v>43908</v>
      </c>
      <c r="E25" s="11">
        <v>43908</v>
      </c>
      <c r="F25" s="31">
        <v>7176804</v>
      </c>
      <c r="G25" s="32">
        <v>0</v>
      </c>
      <c r="H25" s="8" t="s">
        <v>1292</v>
      </c>
      <c r="I25" s="12">
        <v>800031358</v>
      </c>
      <c r="J25" s="13" t="s">
        <v>1474</v>
      </c>
      <c r="K25" s="14">
        <f>17*3.8</f>
        <v>64.599999999999994</v>
      </c>
      <c r="L25" s="18" t="s">
        <v>172</v>
      </c>
      <c r="M25" s="16">
        <f>24917/3.8</f>
        <v>6557.105263157895</v>
      </c>
      <c r="N25" s="16">
        <f t="shared" si="3"/>
        <v>1245.8500000000001</v>
      </c>
      <c r="O25" s="16">
        <f t="shared" si="1"/>
        <v>504070.91</v>
      </c>
      <c r="P25" s="19" t="s">
        <v>36</v>
      </c>
    </row>
    <row r="26" spans="1:16" x14ac:dyDescent="0.3">
      <c r="A26" s="8" t="s">
        <v>1289</v>
      </c>
      <c r="B26" s="9" t="s">
        <v>1290</v>
      </c>
      <c r="C26" s="17" t="s">
        <v>1291</v>
      </c>
      <c r="D26" s="11">
        <v>43908</v>
      </c>
      <c r="E26" s="11">
        <v>43908</v>
      </c>
      <c r="F26" s="31">
        <v>7176804</v>
      </c>
      <c r="G26" s="32">
        <v>0</v>
      </c>
      <c r="H26" s="8" t="s">
        <v>1292</v>
      </c>
      <c r="I26" s="12">
        <v>800031358</v>
      </c>
      <c r="J26" s="13" t="s">
        <v>1296</v>
      </c>
      <c r="K26" s="14">
        <v>703</v>
      </c>
      <c r="L26" s="18" t="s">
        <v>1277</v>
      </c>
      <c r="M26" s="16">
        <v>4133</v>
      </c>
      <c r="N26" s="16">
        <f t="shared" si="3"/>
        <v>785.27</v>
      </c>
      <c r="O26" s="16">
        <f t="shared" si="1"/>
        <v>3457543.8100000005</v>
      </c>
      <c r="P26" s="19" t="s">
        <v>94</v>
      </c>
    </row>
    <row r="27" spans="1:16" x14ac:dyDescent="0.3">
      <c r="A27" s="8" t="s">
        <v>1289</v>
      </c>
      <c r="B27" s="9" t="s">
        <v>1290</v>
      </c>
      <c r="C27" s="17" t="s">
        <v>1291</v>
      </c>
      <c r="D27" s="11">
        <v>43908</v>
      </c>
      <c r="E27" s="11">
        <v>43908</v>
      </c>
      <c r="F27" s="31">
        <v>7176804</v>
      </c>
      <c r="G27" s="32">
        <v>0</v>
      </c>
      <c r="H27" s="8" t="s">
        <v>1292</v>
      </c>
      <c r="I27" s="12">
        <v>800031358</v>
      </c>
      <c r="J27" s="13" t="s">
        <v>1297</v>
      </c>
      <c r="K27" s="14">
        <v>100</v>
      </c>
      <c r="L27" s="18" t="s">
        <v>250</v>
      </c>
      <c r="M27" s="16">
        <v>13345.000000000002</v>
      </c>
      <c r="N27" s="16">
        <f t="shared" si="3"/>
        <v>2535.5500000000002</v>
      </c>
      <c r="O27" s="16">
        <f t="shared" si="1"/>
        <v>1588055.0000000002</v>
      </c>
      <c r="P27" s="19" t="s">
        <v>21</v>
      </c>
    </row>
    <row r="28" spans="1:16" x14ac:dyDescent="0.3">
      <c r="A28" s="8" t="s">
        <v>1289</v>
      </c>
      <c r="B28" s="9" t="s">
        <v>612</v>
      </c>
      <c r="C28" s="17" t="s">
        <v>1298</v>
      </c>
      <c r="D28" s="11">
        <v>43945</v>
      </c>
      <c r="E28" s="11">
        <v>43945</v>
      </c>
      <c r="F28" s="31">
        <v>5103664</v>
      </c>
      <c r="G28" s="32">
        <v>0</v>
      </c>
      <c r="H28" s="8" t="s">
        <v>1299</v>
      </c>
      <c r="I28" s="12">
        <v>900843992</v>
      </c>
      <c r="J28" s="13" t="s">
        <v>1300</v>
      </c>
      <c r="K28" s="14">
        <v>1</v>
      </c>
      <c r="L28" s="18" t="s">
        <v>783</v>
      </c>
      <c r="M28" s="16">
        <v>4288793</v>
      </c>
      <c r="N28" s="16">
        <f t="shared" si="3"/>
        <v>814870.67</v>
      </c>
      <c r="O28" s="16">
        <f t="shared" si="1"/>
        <v>5103663.67</v>
      </c>
      <c r="P28" s="14" t="s">
        <v>1402</v>
      </c>
    </row>
    <row r="29" spans="1:16" x14ac:dyDescent="0.3">
      <c r="A29" s="8" t="s">
        <v>1289</v>
      </c>
      <c r="B29" s="9" t="s">
        <v>112</v>
      </c>
      <c r="C29" s="17" t="s">
        <v>1301</v>
      </c>
      <c r="D29" s="11">
        <v>43966</v>
      </c>
      <c r="E29" s="11">
        <v>43966</v>
      </c>
      <c r="F29" s="31">
        <v>10515900</v>
      </c>
      <c r="G29" s="32">
        <v>0</v>
      </c>
      <c r="H29" s="8" t="s">
        <v>1302</v>
      </c>
      <c r="I29" s="12">
        <v>830001338</v>
      </c>
      <c r="J29" s="13" t="s">
        <v>1303</v>
      </c>
      <c r="K29" s="14">
        <v>1000</v>
      </c>
      <c r="L29" s="18" t="s">
        <v>1277</v>
      </c>
      <c r="M29" s="16">
        <v>5373</v>
      </c>
      <c r="N29" s="16">
        <v>0</v>
      </c>
      <c r="O29" s="16">
        <f t="shared" si="1"/>
        <v>5373000</v>
      </c>
      <c r="P29" s="19" t="s">
        <v>94</v>
      </c>
    </row>
    <row r="30" spans="1:16" x14ac:dyDescent="0.3">
      <c r="A30" s="8" t="s">
        <v>1289</v>
      </c>
      <c r="B30" s="9" t="s">
        <v>112</v>
      </c>
      <c r="C30" s="17" t="s">
        <v>1301</v>
      </c>
      <c r="D30" s="11">
        <v>43966</v>
      </c>
      <c r="E30" s="11">
        <v>43966</v>
      </c>
      <c r="F30" s="31">
        <v>10515900</v>
      </c>
      <c r="G30" s="32">
        <v>0</v>
      </c>
      <c r="H30" s="8" t="s">
        <v>1302</v>
      </c>
      <c r="I30" s="12">
        <v>830001338</v>
      </c>
      <c r="J30" s="13" t="s">
        <v>1454</v>
      </c>
      <c r="K30" s="24">
        <f>100*4</f>
        <v>400</v>
      </c>
      <c r="L30" s="18" t="s">
        <v>172</v>
      </c>
      <c r="M30" s="16">
        <f>51429/4</f>
        <v>12857.25</v>
      </c>
      <c r="N30" s="16">
        <v>0</v>
      </c>
      <c r="O30" s="16">
        <f t="shared" si="1"/>
        <v>5142900</v>
      </c>
      <c r="P30" s="19" t="s">
        <v>96</v>
      </c>
    </row>
    <row r="31" spans="1:16" x14ac:dyDescent="0.3">
      <c r="A31" s="8" t="s">
        <v>1289</v>
      </c>
      <c r="B31" s="9" t="s">
        <v>114</v>
      </c>
      <c r="C31" s="17" t="s">
        <v>1304</v>
      </c>
      <c r="D31" s="11">
        <v>43966</v>
      </c>
      <c r="E31" s="11">
        <v>43966</v>
      </c>
      <c r="F31" s="31">
        <v>11191700</v>
      </c>
      <c r="G31" s="32">
        <v>0</v>
      </c>
      <c r="H31" s="8" t="s">
        <v>1305</v>
      </c>
      <c r="I31" s="12">
        <v>80736955</v>
      </c>
      <c r="J31" s="13" t="s">
        <v>1455</v>
      </c>
      <c r="K31" s="24">
        <f>1000/2</f>
        <v>500</v>
      </c>
      <c r="L31" s="18" t="s">
        <v>172</v>
      </c>
      <c r="M31" s="16">
        <f>10799*2</f>
        <v>21598</v>
      </c>
      <c r="N31" s="16">
        <v>0</v>
      </c>
      <c r="O31" s="16">
        <f t="shared" si="1"/>
        <v>10799000</v>
      </c>
      <c r="P31" s="19" t="s">
        <v>96</v>
      </c>
    </row>
    <row r="32" spans="1:16" x14ac:dyDescent="0.3">
      <c r="A32" s="8" t="s">
        <v>1289</v>
      </c>
      <c r="B32" s="9" t="s">
        <v>116</v>
      </c>
      <c r="C32" s="17" t="s">
        <v>1306</v>
      </c>
      <c r="D32" s="11">
        <v>43969</v>
      </c>
      <c r="E32" s="11">
        <v>43969</v>
      </c>
      <c r="F32" s="31">
        <v>5600000</v>
      </c>
      <c r="G32" s="32">
        <v>0</v>
      </c>
      <c r="H32" s="8" t="s">
        <v>1307</v>
      </c>
      <c r="I32" s="12">
        <v>830037946</v>
      </c>
      <c r="J32" s="13" t="s">
        <v>1473</v>
      </c>
      <c r="K32" s="14">
        <f>1000/2</f>
        <v>500</v>
      </c>
      <c r="L32" s="18" t="s">
        <v>172</v>
      </c>
      <c r="M32" s="16">
        <f>5600*2</f>
        <v>11200</v>
      </c>
      <c r="N32" s="16">
        <v>0</v>
      </c>
      <c r="O32" s="16">
        <f t="shared" si="1"/>
        <v>5600000</v>
      </c>
      <c r="P32" s="19" t="s">
        <v>36</v>
      </c>
    </row>
    <row r="33" spans="1:16" x14ac:dyDescent="0.3">
      <c r="A33" s="8" t="s">
        <v>1289</v>
      </c>
      <c r="B33" s="9" t="s">
        <v>1308</v>
      </c>
      <c r="C33" s="17" t="s">
        <v>1309</v>
      </c>
      <c r="D33" s="11">
        <v>43969</v>
      </c>
      <c r="E33" s="11">
        <v>43969</v>
      </c>
      <c r="F33" s="31">
        <v>6890700</v>
      </c>
      <c r="G33" s="32">
        <v>0</v>
      </c>
      <c r="H33" s="8" t="s">
        <v>368</v>
      </c>
      <c r="I33" s="12">
        <v>900155107</v>
      </c>
      <c r="J33" s="13" t="s">
        <v>60</v>
      </c>
      <c r="K33" s="14">
        <v>100</v>
      </c>
      <c r="L33" s="18" t="s">
        <v>531</v>
      </c>
      <c r="M33" s="16">
        <v>68907</v>
      </c>
      <c r="N33" s="16">
        <v>0</v>
      </c>
      <c r="O33" s="16">
        <f t="shared" si="1"/>
        <v>6890700</v>
      </c>
      <c r="P33" s="19" t="s">
        <v>59</v>
      </c>
    </row>
    <row r="34" spans="1:16" x14ac:dyDescent="0.3">
      <c r="A34" s="8" t="s">
        <v>1289</v>
      </c>
      <c r="B34" s="9" t="s">
        <v>278</v>
      </c>
      <c r="C34" s="17" t="s">
        <v>1310</v>
      </c>
      <c r="D34" s="11">
        <v>43971</v>
      </c>
      <c r="E34" s="11">
        <v>43969</v>
      </c>
      <c r="F34" s="31">
        <v>7686300</v>
      </c>
      <c r="G34" s="32">
        <v>0</v>
      </c>
      <c r="H34" s="8" t="s">
        <v>368</v>
      </c>
      <c r="I34" s="12">
        <v>900155107</v>
      </c>
      <c r="J34" s="13" t="s">
        <v>1412</v>
      </c>
      <c r="K34" s="14">
        <f>100*50</f>
        <v>5000</v>
      </c>
      <c r="L34" s="15" t="s">
        <v>250</v>
      </c>
      <c r="M34" s="16">
        <f>76863/50</f>
        <v>1537.26</v>
      </c>
      <c r="N34" s="16">
        <v>0</v>
      </c>
      <c r="O34" s="16">
        <f t="shared" si="1"/>
        <v>7686300</v>
      </c>
      <c r="P34" s="19" t="s">
        <v>95</v>
      </c>
    </row>
    <row r="35" spans="1:16" x14ac:dyDescent="0.3">
      <c r="A35" s="8" t="s">
        <v>1289</v>
      </c>
      <c r="B35" s="9" t="s">
        <v>293</v>
      </c>
      <c r="C35" s="17" t="s">
        <v>1311</v>
      </c>
      <c r="D35" s="11">
        <v>43983</v>
      </c>
      <c r="E35" s="11">
        <v>43983</v>
      </c>
      <c r="F35" s="31">
        <v>20300000</v>
      </c>
      <c r="G35" s="32">
        <v>0</v>
      </c>
      <c r="H35" s="8" t="s">
        <v>1312</v>
      </c>
      <c r="I35" s="12">
        <v>890106665</v>
      </c>
      <c r="J35" s="13" t="s">
        <v>1313</v>
      </c>
      <c r="K35" s="14">
        <v>7000</v>
      </c>
      <c r="L35" s="18" t="s">
        <v>250</v>
      </c>
      <c r="M35" s="16">
        <v>2900</v>
      </c>
      <c r="N35" s="16">
        <v>0</v>
      </c>
      <c r="O35" s="16">
        <f t="shared" si="1"/>
        <v>20300000</v>
      </c>
      <c r="P35" s="19" t="s">
        <v>95</v>
      </c>
    </row>
    <row r="36" spans="1:16" x14ac:dyDescent="0.3">
      <c r="A36" s="8" t="s">
        <v>1289</v>
      </c>
      <c r="B36" s="9" t="s">
        <v>119</v>
      </c>
      <c r="C36" s="17" t="s">
        <v>1314</v>
      </c>
      <c r="D36" s="11">
        <v>43984</v>
      </c>
      <c r="E36" s="11">
        <v>43984</v>
      </c>
      <c r="F36" s="31">
        <v>12960000</v>
      </c>
      <c r="G36" s="32">
        <v>0</v>
      </c>
      <c r="H36" s="8" t="s">
        <v>1315</v>
      </c>
      <c r="I36" s="12">
        <v>900616935</v>
      </c>
      <c r="J36" s="13" t="s">
        <v>1316</v>
      </c>
      <c r="K36" s="14">
        <v>12</v>
      </c>
      <c r="L36" s="18" t="s">
        <v>250</v>
      </c>
      <c r="M36" s="16">
        <v>330000</v>
      </c>
      <c r="N36" s="16">
        <v>0</v>
      </c>
      <c r="O36" s="16">
        <f t="shared" si="1"/>
        <v>3960000</v>
      </c>
      <c r="P36" s="14" t="s">
        <v>136</v>
      </c>
    </row>
    <row r="37" spans="1:16" x14ac:dyDescent="0.3">
      <c r="A37" s="8" t="s">
        <v>1289</v>
      </c>
      <c r="B37" s="9" t="s">
        <v>119</v>
      </c>
      <c r="C37" s="17" t="s">
        <v>1314</v>
      </c>
      <c r="D37" s="11">
        <v>43984</v>
      </c>
      <c r="E37" s="11">
        <v>43984</v>
      </c>
      <c r="F37" s="31">
        <v>12960000</v>
      </c>
      <c r="G37" s="32">
        <v>0</v>
      </c>
      <c r="H37" s="8" t="s">
        <v>1315</v>
      </c>
      <c r="I37" s="12">
        <v>900616935</v>
      </c>
      <c r="J37" s="13" t="s">
        <v>1386</v>
      </c>
      <c r="K37" s="14">
        <v>3000</v>
      </c>
      <c r="L37" s="18" t="s">
        <v>250</v>
      </c>
      <c r="M37" s="16">
        <v>3000</v>
      </c>
      <c r="N37" s="16">
        <v>0</v>
      </c>
      <c r="O37" s="16">
        <f t="shared" si="1"/>
        <v>9000000</v>
      </c>
      <c r="P37" s="19" t="s">
        <v>182</v>
      </c>
    </row>
    <row r="38" spans="1:16" x14ac:dyDescent="0.3">
      <c r="A38" s="8" t="s">
        <v>1289</v>
      </c>
      <c r="B38" s="9" t="s">
        <v>127</v>
      </c>
      <c r="C38" s="17" t="s">
        <v>1317</v>
      </c>
      <c r="D38" s="11">
        <v>43990</v>
      </c>
      <c r="E38" s="11">
        <v>43992</v>
      </c>
      <c r="F38" s="31">
        <v>20349000</v>
      </c>
      <c r="G38" s="32">
        <v>0</v>
      </c>
      <c r="H38" s="8" t="s">
        <v>1318</v>
      </c>
      <c r="I38" s="12">
        <v>901094895</v>
      </c>
      <c r="J38" s="13" t="s">
        <v>1319</v>
      </c>
      <c r="K38" s="14">
        <v>18</v>
      </c>
      <c r="L38" s="18" t="s">
        <v>250</v>
      </c>
      <c r="M38" s="16">
        <v>950000</v>
      </c>
      <c r="N38" s="16">
        <f>M38*0.19</f>
        <v>180500</v>
      </c>
      <c r="O38" s="16">
        <f t="shared" si="1"/>
        <v>20349000</v>
      </c>
      <c r="P38" s="14" t="s">
        <v>1274</v>
      </c>
    </row>
    <row r="39" spans="1:16" x14ac:dyDescent="0.3">
      <c r="A39" s="8" t="s">
        <v>1289</v>
      </c>
      <c r="B39" s="9" t="s">
        <v>307</v>
      </c>
      <c r="C39" s="17" t="s">
        <v>1320</v>
      </c>
      <c r="D39" s="11">
        <v>44013</v>
      </c>
      <c r="E39" s="11">
        <v>44013</v>
      </c>
      <c r="F39" s="31">
        <v>43680000</v>
      </c>
      <c r="G39" s="32">
        <v>0</v>
      </c>
      <c r="H39" s="8" t="s">
        <v>1321</v>
      </c>
      <c r="I39" s="12">
        <v>900008801</v>
      </c>
      <c r="J39" s="13" t="s">
        <v>1496</v>
      </c>
      <c r="K39" s="14">
        <v>7</v>
      </c>
      <c r="L39" s="15" t="s">
        <v>1281</v>
      </c>
      <c r="M39" s="16">
        <v>1310924.3697478992</v>
      </c>
      <c r="N39" s="16">
        <f>M39*0.19</f>
        <v>249075.63025210085</v>
      </c>
      <c r="O39" s="16">
        <f>K39*(M39+N39)*4</f>
        <v>43680000</v>
      </c>
      <c r="P39" s="14" t="s">
        <v>1282</v>
      </c>
    </row>
    <row r="40" spans="1:16" x14ac:dyDescent="0.3">
      <c r="A40" s="8" t="s">
        <v>86</v>
      </c>
      <c r="B40" s="9" t="s">
        <v>87</v>
      </c>
      <c r="C40" s="10" t="s">
        <v>88</v>
      </c>
      <c r="D40" s="11">
        <v>43915</v>
      </c>
      <c r="E40" s="11">
        <v>43922</v>
      </c>
      <c r="F40" s="31">
        <v>185523408</v>
      </c>
      <c r="G40" s="32">
        <v>0</v>
      </c>
      <c r="H40" s="8" t="s">
        <v>89</v>
      </c>
      <c r="I40" s="12">
        <v>800126785</v>
      </c>
      <c r="J40" s="13" t="s">
        <v>1377</v>
      </c>
      <c r="K40" s="14">
        <v>6</v>
      </c>
      <c r="L40" s="15" t="s">
        <v>1281</v>
      </c>
      <c r="M40" s="16">
        <v>3222785</v>
      </c>
      <c r="N40" s="16">
        <v>0</v>
      </c>
      <c r="O40" s="16">
        <f>K40*(M40+N40)*7</f>
        <v>135356970</v>
      </c>
      <c r="P40" s="14" t="s">
        <v>1283</v>
      </c>
    </row>
    <row r="41" spans="1:16" x14ac:dyDescent="0.3">
      <c r="A41" s="8" t="s">
        <v>86</v>
      </c>
      <c r="B41" s="9" t="s">
        <v>87</v>
      </c>
      <c r="C41" s="10" t="s">
        <v>88</v>
      </c>
      <c r="D41" s="11">
        <v>43915</v>
      </c>
      <c r="E41" s="11">
        <v>43922</v>
      </c>
      <c r="F41" s="31">
        <v>185523408</v>
      </c>
      <c r="G41" s="32">
        <v>0</v>
      </c>
      <c r="H41" s="8" t="s">
        <v>89</v>
      </c>
      <c r="I41" s="12">
        <v>800126785</v>
      </c>
      <c r="J41" s="13" t="s">
        <v>1378</v>
      </c>
      <c r="K41" s="14">
        <v>21</v>
      </c>
      <c r="L41" s="15" t="s">
        <v>1281</v>
      </c>
      <c r="M41" s="16">
        <v>341189</v>
      </c>
      <c r="N41" s="16">
        <v>0</v>
      </c>
      <c r="O41" s="16">
        <f>K41*(M41+N41)*7</f>
        <v>50154783</v>
      </c>
      <c r="P41" s="14" t="s">
        <v>1283</v>
      </c>
    </row>
    <row r="42" spans="1:16" x14ac:dyDescent="0.3">
      <c r="A42" s="8" t="s">
        <v>86</v>
      </c>
      <c r="B42" s="9" t="s">
        <v>90</v>
      </c>
      <c r="C42" s="10" t="s">
        <v>91</v>
      </c>
      <c r="D42" s="11">
        <v>43916</v>
      </c>
      <c r="E42" s="11">
        <v>43920</v>
      </c>
      <c r="F42" s="31">
        <v>219927500</v>
      </c>
      <c r="G42" s="32">
        <v>0</v>
      </c>
      <c r="H42" s="8" t="s">
        <v>92</v>
      </c>
      <c r="I42" s="12">
        <v>900521780</v>
      </c>
      <c r="J42" s="13" t="s">
        <v>34</v>
      </c>
      <c r="K42" s="24">
        <v>750</v>
      </c>
      <c r="L42" s="15" t="s">
        <v>172</v>
      </c>
      <c r="M42" s="16">
        <v>36400</v>
      </c>
      <c r="N42" s="16">
        <v>0</v>
      </c>
      <c r="O42" s="16">
        <f t="shared" si="1"/>
        <v>27300000</v>
      </c>
      <c r="P42" s="14" t="s">
        <v>34</v>
      </c>
    </row>
    <row r="43" spans="1:16" x14ac:dyDescent="0.3">
      <c r="A43" s="8" t="s">
        <v>86</v>
      </c>
      <c r="B43" s="9" t="s">
        <v>90</v>
      </c>
      <c r="C43" s="10" t="s">
        <v>91</v>
      </c>
      <c r="D43" s="11">
        <v>43916</v>
      </c>
      <c r="E43" s="11">
        <v>43920</v>
      </c>
      <c r="F43" s="31">
        <v>219927500</v>
      </c>
      <c r="G43" s="32">
        <v>0</v>
      </c>
      <c r="H43" s="8" t="s">
        <v>92</v>
      </c>
      <c r="I43" s="12">
        <v>900521780</v>
      </c>
      <c r="J43" s="13" t="s">
        <v>93</v>
      </c>
      <c r="K43" s="14">
        <v>2000</v>
      </c>
      <c r="L43" s="15" t="s">
        <v>1277</v>
      </c>
      <c r="M43" s="16">
        <v>6500</v>
      </c>
      <c r="N43" s="16">
        <v>0</v>
      </c>
      <c r="O43" s="16">
        <f t="shared" si="1"/>
        <v>13000000</v>
      </c>
      <c r="P43" s="14" t="s">
        <v>94</v>
      </c>
    </row>
    <row r="44" spans="1:16" x14ac:dyDescent="0.3">
      <c r="A44" s="8" t="s">
        <v>86</v>
      </c>
      <c r="B44" s="9" t="s">
        <v>90</v>
      </c>
      <c r="C44" s="10" t="s">
        <v>91</v>
      </c>
      <c r="D44" s="11">
        <v>43916</v>
      </c>
      <c r="E44" s="11">
        <v>43920</v>
      </c>
      <c r="F44" s="31">
        <v>219927500</v>
      </c>
      <c r="G44" s="32">
        <v>0</v>
      </c>
      <c r="H44" s="8" t="s">
        <v>92</v>
      </c>
      <c r="I44" s="12">
        <v>900521780</v>
      </c>
      <c r="J44" s="13" t="s">
        <v>1412</v>
      </c>
      <c r="K44" s="14">
        <v>150000</v>
      </c>
      <c r="L44" s="18" t="s">
        <v>250</v>
      </c>
      <c r="M44" s="16">
        <f>91000/100</f>
        <v>910</v>
      </c>
      <c r="N44" s="16">
        <v>0</v>
      </c>
      <c r="O44" s="16">
        <f t="shared" si="1"/>
        <v>136500000</v>
      </c>
      <c r="P44" s="14" t="s">
        <v>95</v>
      </c>
    </row>
    <row r="45" spans="1:16" x14ac:dyDescent="0.3">
      <c r="A45" s="8" t="s">
        <v>86</v>
      </c>
      <c r="B45" s="9" t="s">
        <v>90</v>
      </c>
      <c r="C45" s="10" t="s">
        <v>91</v>
      </c>
      <c r="D45" s="11">
        <v>43916</v>
      </c>
      <c r="E45" s="11">
        <v>43920</v>
      </c>
      <c r="F45" s="31">
        <v>219927500</v>
      </c>
      <c r="G45" s="32">
        <v>0</v>
      </c>
      <c r="H45" s="8" t="s">
        <v>92</v>
      </c>
      <c r="I45" s="12">
        <v>900521780</v>
      </c>
      <c r="J45" s="13" t="s">
        <v>1457</v>
      </c>
      <c r="K45" s="24">
        <v>1150</v>
      </c>
      <c r="L45" s="15" t="s">
        <v>172</v>
      </c>
      <c r="M45" s="16">
        <v>9750</v>
      </c>
      <c r="N45" s="16">
        <v>0</v>
      </c>
      <c r="O45" s="16">
        <f t="shared" si="1"/>
        <v>11212500</v>
      </c>
      <c r="P45" s="14" t="s">
        <v>96</v>
      </c>
    </row>
    <row r="46" spans="1:16" x14ac:dyDescent="0.3">
      <c r="A46" s="8" t="s">
        <v>86</v>
      </c>
      <c r="B46" s="9" t="s">
        <v>90</v>
      </c>
      <c r="C46" s="10" t="s">
        <v>91</v>
      </c>
      <c r="D46" s="11">
        <v>43916</v>
      </c>
      <c r="E46" s="11">
        <v>43920</v>
      </c>
      <c r="F46" s="31">
        <v>219927500</v>
      </c>
      <c r="G46" s="32">
        <v>0</v>
      </c>
      <c r="H46" s="8" t="s">
        <v>92</v>
      </c>
      <c r="I46" s="12">
        <v>900521780</v>
      </c>
      <c r="J46" s="13" t="s">
        <v>97</v>
      </c>
      <c r="K46" s="14">
        <v>2050</v>
      </c>
      <c r="L46" s="15" t="s">
        <v>1370</v>
      </c>
      <c r="M46" s="16">
        <v>1300</v>
      </c>
      <c r="N46" s="16">
        <v>0</v>
      </c>
      <c r="O46" s="16">
        <f t="shared" si="1"/>
        <v>2665000</v>
      </c>
      <c r="P46" s="14" t="s">
        <v>98</v>
      </c>
    </row>
    <row r="47" spans="1:16" x14ac:dyDescent="0.3">
      <c r="A47" s="8" t="s">
        <v>86</v>
      </c>
      <c r="B47" s="9" t="s">
        <v>90</v>
      </c>
      <c r="C47" s="10" t="s">
        <v>91</v>
      </c>
      <c r="D47" s="11">
        <v>43916</v>
      </c>
      <c r="E47" s="11">
        <v>43920</v>
      </c>
      <c r="F47" s="31">
        <v>219927500</v>
      </c>
      <c r="G47" s="32">
        <v>0</v>
      </c>
      <c r="H47" s="8" t="s">
        <v>92</v>
      </c>
      <c r="I47" s="12">
        <v>900521780</v>
      </c>
      <c r="J47" s="13" t="s">
        <v>99</v>
      </c>
      <c r="K47" s="14">
        <v>1500</v>
      </c>
      <c r="L47" s="15" t="s">
        <v>531</v>
      </c>
      <c r="M47" s="16">
        <v>19500</v>
      </c>
      <c r="N47" s="16">
        <v>0</v>
      </c>
      <c r="O47" s="16">
        <f t="shared" si="1"/>
        <v>29250000</v>
      </c>
      <c r="P47" s="14" t="s">
        <v>23</v>
      </c>
    </row>
    <row r="48" spans="1:16" x14ac:dyDescent="0.3">
      <c r="A48" s="8" t="s">
        <v>86</v>
      </c>
      <c r="B48" s="9" t="s">
        <v>100</v>
      </c>
      <c r="C48" s="10" t="s">
        <v>101</v>
      </c>
      <c r="D48" s="11">
        <v>43924</v>
      </c>
      <c r="E48" s="11">
        <v>43927</v>
      </c>
      <c r="F48" s="31">
        <v>298166400</v>
      </c>
      <c r="G48" s="32">
        <v>0</v>
      </c>
      <c r="H48" s="8" t="s">
        <v>102</v>
      </c>
      <c r="I48" s="12">
        <v>900594755</v>
      </c>
      <c r="J48" s="13" t="s">
        <v>103</v>
      </c>
      <c r="K48" s="14">
        <v>58</v>
      </c>
      <c r="L48" s="15" t="s">
        <v>250</v>
      </c>
      <c r="M48" s="16">
        <v>2980000</v>
      </c>
      <c r="N48" s="16">
        <f>M48*0.19</f>
        <v>566200</v>
      </c>
      <c r="O48" s="16">
        <f t="shared" si="1"/>
        <v>205679600</v>
      </c>
      <c r="P48" s="14" t="s">
        <v>104</v>
      </c>
    </row>
    <row r="49" spans="1:16" x14ac:dyDescent="0.3">
      <c r="A49" s="8" t="s">
        <v>86</v>
      </c>
      <c r="B49" s="9" t="s">
        <v>100</v>
      </c>
      <c r="C49" s="10" t="s">
        <v>101</v>
      </c>
      <c r="D49" s="11">
        <v>43924</v>
      </c>
      <c r="E49" s="11">
        <v>43927</v>
      </c>
      <c r="F49" s="31">
        <v>298166400</v>
      </c>
      <c r="G49" s="32">
        <v>0</v>
      </c>
      <c r="H49" s="8" t="s">
        <v>102</v>
      </c>
      <c r="I49" s="12">
        <v>900594755</v>
      </c>
      <c r="J49" s="13" t="s">
        <v>105</v>
      </c>
      <c r="K49" s="14">
        <v>58</v>
      </c>
      <c r="L49" s="15" t="s">
        <v>250</v>
      </c>
      <c r="M49" s="16">
        <v>1340000</v>
      </c>
      <c r="N49" s="16">
        <f>M49*0.19</f>
        <v>254600</v>
      </c>
      <c r="O49" s="16">
        <f t="shared" si="1"/>
        <v>92486800</v>
      </c>
      <c r="P49" s="14" t="s">
        <v>106</v>
      </c>
    </row>
    <row r="50" spans="1:16" x14ac:dyDescent="0.3">
      <c r="A50" s="8" t="s">
        <v>86</v>
      </c>
      <c r="B50" s="9" t="s">
        <v>107</v>
      </c>
      <c r="C50" s="10" t="s">
        <v>108</v>
      </c>
      <c r="D50" s="11">
        <v>43948</v>
      </c>
      <c r="E50" s="11">
        <v>43950</v>
      </c>
      <c r="F50" s="31">
        <v>7000000</v>
      </c>
      <c r="G50" s="32">
        <v>0</v>
      </c>
      <c r="H50" s="8" t="s">
        <v>109</v>
      </c>
      <c r="I50" s="12">
        <v>1024582398</v>
      </c>
      <c r="J50" s="13" t="s">
        <v>1432</v>
      </c>
      <c r="K50" s="14">
        <v>1</v>
      </c>
      <c r="L50" s="15" t="s">
        <v>1281</v>
      </c>
      <c r="M50" s="16">
        <v>3500000</v>
      </c>
      <c r="N50" s="16">
        <v>0</v>
      </c>
      <c r="O50" s="16">
        <f>K50*(M50+N50)*2</f>
        <v>7000000</v>
      </c>
      <c r="P50" s="19" t="s">
        <v>1385</v>
      </c>
    </row>
    <row r="51" spans="1:16" x14ac:dyDescent="0.3">
      <c r="A51" s="8" t="s">
        <v>86</v>
      </c>
      <c r="B51" s="9" t="s">
        <v>110</v>
      </c>
      <c r="C51" s="10" t="s">
        <v>108</v>
      </c>
      <c r="D51" s="11">
        <v>43948</v>
      </c>
      <c r="E51" s="11">
        <v>43950</v>
      </c>
      <c r="F51" s="31">
        <v>7000000</v>
      </c>
      <c r="G51" s="32">
        <v>0</v>
      </c>
      <c r="H51" s="8" t="s">
        <v>111</v>
      </c>
      <c r="I51" s="12">
        <v>80004109</v>
      </c>
      <c r="J51" s="13" t="s">
        <v>1432</v>
      </c>
      <c r="K51" s="14">
        <v>1</v>
      </c>
      <c r="L51" s="15" t="s">
        <v>1281</v>
      </c>
      <c r="M51" s="16">
        <v>3500000</v>
      </c>
      <c r="N51" s="16">
        <v>0</v>
      </c>
      <c r="O51" s="16">
        <f t="shared" ref="O51:O53" si="4">K51*(M51+N51)*2</f>
        <v>7000000</v>
      </c>
      <c r="P51" s="19" t="s">
        <v>1385</v>
      </c>
    </row>
    <row r="52" spans="1:16" x14ac:dyDescent="0.3">
      <c r="A52" s="8" t="s">
        <v>86</v>
      </c>
      <c r="B52" s="9" t="s">
        <v>112</v>
      </c>
      <c r="C52" s="10" t="s">
        <v>108</v>
      </c>
      <c r="D52" s="11">
        <v>43948</v>
      </c>
      <c r="E52" s="11">
        <v>43950</v>
      </c>
      <c r="F52" s="31">
        <v>7000000</v>
      </c>
      <c r="G52" s="32">
        <v>0</v>
      </c>
      <c r="H52" s="8" t="s">
        <v>113</v>
      </c>
      <c r="I52" s="12">
        <v>79961756</v>
      </c>
      <c r="J52" s="13" t="s">
        <v>1432</v>
      </c>
      <c r="K52" s="14">
        <v>1</v>
      </c>
      <c r="L52" s="15" t="s">
        <v>1281</v>
      </c>
      <c r="M52" s="16">
        <v>3500000</v>
      </c>
      <c r="N52" s="16">
        <v>0</v>
      </c>
      <c r="O52" s="16">
        <f t="shared" si="4"/>
        <v>7000000</v>
      </c>
      <c r="P52" s="19" t="s">
        <v>1385</v>
      </c>
    </row>
    <row r="53" spans="1:16" x14ac:dyDescent="0.3">
      <c r="A53" s="8" t="s">
        <v>86</v>
      </c>
      <c r="B53" s="9" t="s">
        <v>114</v>
      </c>
      <c r="C53" s="10" t="s">
        <v>108</v>
      </c>
      <c r="D53" s="11">
        <v>43949</v>
      </c>
      <c r="E53" s="11">
        <v>43950</v>
      </c>
      <c r="F53" s="31">
        <v>7000000</v>
      </c>
      <c r="G53" s="32">
        <v>0</v>
      </c>
      <c r="H53" s="8" t="s">
        <v>115</v>
      </c>
      <c r="I53" s="12">
        <v>80261176</v>
      </c>
      <c r="J53" s="13" t="s">
        <v>1432</v>
      </c>
      <c r="K53" s="14">
        <v>1</v>
      </c>
      <c r="L53" s="15" t="s">
        <v>1281</v>
      </c>
      <c r="M53" s="16">
        <v>3500000</v>
      </c>
      <c r="N53" s="16">
        <v>0</v>
      </c>
      <c r="O53" s="16">
        <f t="shared" si="4"/>
        <v>7000000</v>
      </c>
      <c r="P53" s="19" t="s">
        <v>1385</v>
      </c>
    </row>
    <row r="54" spans="1:16" x14ac:dyDescent="0.3">
      <c r="A54" s="8" t="s">
        <v>86</v>
      </c>
      <c r="B54" s="9" t="s">
        <v>116</v>
      </c>
      <c r="C54" s="10" t="s">
        <v>117</v>
      </c>
      <c r="D54" s="11">
        <v>43948</v>
      </c>
      <c r="E54" s="11">
        <v>43957</v>
      </c>
      <c r="F54" s="31">
        <v>73631250</v>
      </c>
      <c r="G54" s="32">
        <v>73631250</v>
      </c>
      <c r="H54" s="8" t="s">
        <v>102</v>
      </c>
      <c r="I54" s="12">
        <v>900594755</v>
      </c>
      <c r="J54" s="13" t="s">
        <v>1433</v>
      </c>
      <c r="K54" s="14">
        <v>300</v>
      </c>
      <c r="L54" s="15" t="s">
        <v>1284</v>
      </c>
      <c r="M54" s="16">
        <v>137500</v>
      </c>
      <c r="N54" s="16">
        <f>M54*0.19</f>
        <v>26125</v>
      </c>
      <c r="O54" s="16">
        <f>K54*(M54+N54)*3</f>
        <v>147262500</v>
      </c>
      <c r="P54" s="14" t="s">
        <v>118</v>
      </c>
    </row>
    <row r="55" spans="1:16" x14ac:dyDescent="0.3">
      <c r="A55" s="8" t="s">
        <v>86</v>
      </c>
      <c r="B55" s="9" t="s">
        <v>119</v>
      </c>
      <c r="C55" s="10" t="s">
        <v>120</v>
      </c>
      <c r="D55" s="11">
        <v>43978</v>
      </c>
      <c r="E55" s="11">
        <v>43980</v>
      </c>
      <c r="F55" s="31">
        <v>418175000</v>
      </c>
      <c r="G55" s="32">
        <v>0</v>
      </c>
      <c r="H55" s="8" t="s">
        <v>121</v>
      </c>
      <c r="I55" s="12">
        <v>900053297</v>
      </c>
      <c r="J55" s="13" t="s">
        <v>122</v>
      </c>
      <c r="K55" s="14">
        <v>100</v>
      </c>
      <c r="L55" s="15" t="s">
        <v>250</v>
      </c>
      <c r="M55" s="16">
        <v>17800</v>
      </c>
      <c r="N55" s="16">
        <v>0</v>
      </c>
      <c r="O55" s="16">
        <f t="shared" si="1"/>
        <v>1780000</v>
      </c>
      <c r="P55" s="14" t="s">
        <v>95</v>
      </c>
    </row>
    <row r="56" spans="1:16" x14ac:dyDescent="0.3">
      <c r="A56" s="8" t="s">
        <v>86</v>
      </c>
      <c r="B56" s="9" t="s">
        <v>119</v>
      </c>
      <c r="C56" s="10" t="s">
        <v>120</v>
      </c>
      <c r="D56" s="11">
        <v>43978</v>
      </c>
      <c r="E56" s="11">
        <v>43980</v>
      </c>
      <c r="F56" s="31">
        <v>418175000</v>
      </c>
      <c r="G56" s="32">
        <v>0</v>
      </c>
      <c r="H56" s="8" t="s">
        <v>121</v>
      </c>
      <c r="I56" s="12">
        <v>900053297</v>
      </c>
      <c r="J56" s="13" t="s">
        <v>123</v>
      </c>
      <c r="K56" s="14">
        <v>1000</v>
      </c>
      <c r="L56" s="15" t="s">
        <v>250</v>
      </c>
      <c r="M56" s="16">
        <v>19900</v>
      </c>
      <c r="N56" s="16">
        <v>0</v>
      </c>
      <c r="O56" s="16">
        <f t="shared" si="1"/>
        <v>19900000</v>
      </c>
      <c r="P56" s="14" t="s">
        <v>25</v>
      </c>
    </row>
    <row r="57" spans="1:16" x14ac:dyDescent="0.3">
      <c r="A57" s="8" t="s">
        <v>86</v>
      </c>
      <c r="B57" s="9" t="s">
        <v>119</v>
      </c>
      <c r="C57" s="10" t="s">
        <v>120</v>
      </c>
      <c r="D57" s="11">
        <v>43978</v>
      </c>
      <c r="E57" s="11">
        <v>43980</v>
      </c>
      <c r="F57" s="31">
        <v>418175000</v>
      </c>
      <c r="G57" s="32">
        <v>0</v>
      </c>
      <c r="H57" s="8" t="s">
        <v>121</v>
      </c>
      <c r="I57" s="12">
        <v>900053297</v>
      </c>
      <c r="J57" s="13" t="s">
        <v>124</v>
      </c>
      <c r="K57" s="14">
        <v>100</v>
      </c>
      <c r="L57" s="15" t="s">
        <v>250</v>
      </c>
      <c r="M57" s="16">
        <v>34900</v>
      </c>
      <c r="N57" s="16">
        <v>0</v>
      </c>
      <c r="O57" s="16">
        <f t="shared" si="1"/>
        <v>3490000</v>
      </c>
      <c r="P57" s="14" t="s">
        <v>21</v>
      </c>
    </row>
    <row r="58" spans="1:16" x14ac:dyDescent="0.3">
      <c r="A58" s="8" t="s">
        <v>86</v>
      </c>
      <c r="B58" s="9" t="s">
        <v>119</v>
      </c>
      <c r="C58" s="10" t="s">
        <v>120</v>
      </c>
      <c r="D58" s="11">
        <v>43978</v>
      </c>
      <c r="E58" s="11">
        <v>43980</v>
      </c>
      <c r="F58" s="31">
        <v>418175000</v>
      </c>
      <c r="G58" s="32">
        <v>0</v>
      </c>
      <c r="H58" s="8" t="s">
        <v>121</v>
      </c>
      <c r="I58" s="12">
        <v>900053297</v>
      </c>
      <c r="J58" s="13" t="s">
        <v>125</v>
      </c>
      <c r="K58" s="14">
        <f>3846*50</f>
        <v>192300</v>
      </c>
      <c r="L58" s="15" t="s">
        <v>250</v>
      </c>
      <c r="M58" s="16">
        <f>92500/50</f>
        <v>1850</v>
      </c>
      <c r="N58" s="16">
        <v>0</v>
      </c>
      <c r="O58" s="16">
        <f t="shared" si="1"/>
        <v>355755000</v>
      </c>
      <c r="P58" s="14" t="s">
        <v>95</v>
      </c>
    </row>
    <row r="59" spans="1:16" x14ac:dyDescent="0.3">
      <c r="A59" s="8" t="s">
        <v>86</v>
      </c>
      <c r="B59" s="9" t="s">
        <v>119</v>
      </c>
      <c r="C59" s="10" t="s">
        <v>120</v>
      </c>
      <c r="D59" s="11">
        <v>43978</v>
      </c>
      <c r="E59" s="11">
        <v>43980</v>
      </c>
      <c r="F59" s="31">
        <v>418175000</v>
      </c>
      <c r="G59" s="32">
        <v>0</v>
      </c>
      <c r="H59" s="8" t="s">
        <v>121</v>
      </c>
      <c r="I59" s="12">
        <v>900053297</v>
      </c>
      <c r="J59" s="13" t="s">
        <v>126</v>
      </c>
      <c r="K59" s="24">
        <v>1250</v>
      </c>
      <c r="L59" s="15" t="s">
        <v>172</v>
      </c>
      <c r="M59" s="16">
        <f>14900*2</f>
        <v>29800</v>
      </c>
      <c r="N59" s="16">
        <v>0</v>
      </c>
      <c r="O59" s="16">
        <f t="shared" si="1"/>
        <v>37250000</v>
      </c>
      <c r="P59" s="14" t="s">
        <v>34</v>
      </c>
    </row>
    <row r="60" spans="1:16" x14ac:dyDescent="0.3">
      <c r="A60" s="8" t="s">
        <v>86</v>
      </c>
      <c r="B60" s="9" t="s">
        <v>127</v>
      </c>
      <c r="C60" s="10" t="s">
        <v>128</v>
      </c>
      <c r="D60" s="11">
        <v>43977</v>
      </c>
      <c r="E60" s="11">
        <v>43980</v>
      </c>
      <c r="F60" s="31">
        <v>66640000</v>
      </c>
      <c r="G60" s="32">
        <v>0</v>
      </c>
      <c r="H60" s="8" t="s">
        <v>129</v>
      </c>
      <c r="I60" s="12">
        <v>900491441</v>
      </c>
      <c r="J60" s="13" t="s">
        <v>130</v>
      </c>
      <c r="K60" s="14">
        <v>40</v>
      </c>
      <c r="L60" s="15" t="s">
        <v>250</v>
      </c>
      <c r="M60" s="16">
        <v>1400000</v>
      </c>
      <c r="N60" s="16">
        <f>M60*0.19</f>
        <v>266000</v>
      </c>
      <c r="O60" s="16">
        <f t="shared" si="1"/>
        <v>66640000</v>
      </c>
      <c r="P60" s="14" t="s">
        <v>1274</v>
      </c>
    </row>
    <row r="61" spans="1:16" x14ac:dyDescent="0.3">
      <c r="A61" s="8" t="s">
        <v>86</v>
      </c>
      <c r="B61" s="9" t="s">
        <v>132</v>
      </c>
      <c r="C61" s="10" t="s">
        <v>133</v>
      </c>
      <c r="D61" s="11">
        <v>44009</v>
      </c>
      <c r="E61" s="11">
        <v>44013</v>
      </c>
      <c r="F61" s="31">
        <v>11940000</v>
      </c>
      <c r="G61" s="32">
        <v>0</v>
      </c>
      <c r="H61" s="8" t="s">
        <v>134</v>
      </c>
      <c r="I61" s="12">
        <v>900934702</v>
      </c>
      <c r="J61" s="13" t="s">
        <v>135</v>
      </c>
      <c r="K61" s="14">
        <v>60</v>
      </c>
      <c r="L61" s="15" t="s">
        <v>250</v>
      </c>
      <c r="M61" s="16">
        <v>199000</v>
      </c>
      <c r="N61" s="16"/>
      <c r="O61" s="16">
        <f t="shared" si="1"/>
        <v>11940000</v>
      </c>
      <c r="P61" s="14" t="s">
        <v>136</v>
      </c>
    </row>
    <row r="62" spans="1:16" x14ac:dyDescent="0.3">
      <c r="A62" s="8" t="s">
        <v>86</v>
      </c>
      <c r="B62" s="9">
        <v>51487</v>
      </c>
      <c r="C62" s="10" t="s">
        <v>137</v>
      </c>
      <c r="D62" s="11">
        <v>44015</v>
      </c>
      <c r="E62" s="11">
        <v>44015</v>
      </c>
      <c r="F62" s="31">
        <v>14970000</v>
      </c>
      <c r="G62" s="32">
        <v>0</v>
      </c>
      <c r="H62" s="8" t="s">
        <v>63</v>
      </c>
      <c r="I62" s="12">
        <v>8600621471</v>
      </c>
      <c r="J62" s="13" t="s">
        <v>138</v>
      </c>
      <c r="K62" s="14">
        <v>3000</v>
      </c>
      <c r="L62" s="15" t="s">
        <v>250</v>
      </c>
      <c r="M62" s="16">
        <v>4990</v>
      </c>
      <c r="N62" s="16">
        <v>0</v>
      </c>
      <c r="O62" s="16">
        <f t="shared" si="1"/>
        <v>14970000</v>
      </c>
      <c r="P62" s="14" t="s">
        <v>232</v>
      </c>
    </row>
    <row r="63" spans="1:16" x14ac:dyDescent="0.3">
      <c r="A63" s="8" t="s">
        <v>86</v>
      </c>
      <c r="B63" s="9">
        <v>52416</v>
      </c>
      <c r="C63" s="10" t="s">
        <v>139</v>
      </c>
      <c r="D63" s="11">
        <v>44034</v>
      </c>
      <c r="E63" s="11">
        <v>44034</v>
      </c>
      <c r="F63" s="31">
        <v>15913335</v>
      </c>
      <c r="G63" s="32">
        <v>0</v>
      </c>
      <c r="H63" s="8" t="s">
        <v>140</v>
      </c>
      <c r="I63" s="12">
        <v>9005644591</v>
      </c>
      <c r="J63" s="13" t="s">
        <v>141</v>
      </c>
      <c r="K63" s="14">
        <v>50</v>
      </c>
      <c r="L63" s="15" t="s">
        <v>250</v>
      </c>
      <c r="M63" s="16">
        <v>267451</v>
      </c>
      <c r="N63" s="16">
        <v>50816</v>
      </c>
      <c r="O63" s="16">
        <f t="shared" ref="O63:O126" si="5">K63*(M63+N63)</f>
        <v>15913350</v>
      </c>
      <c r="P63" s="14" t="s">
        <v>1372</v>
      </c>
    </row>
    <row r="64" spans="1:16" x14ac:dyDescent="0.3">
      <c r="A64" s="8" t="s">
        <v>86</v>
      </c>
      <c r="B64" s="9">
        <v>52439</v>
      </c>
      <c r="C64" s="10" t="s">
        <v>142</v>
      </c>
      <c r="D64" s="11">
        <v>44034</v>
      </c>
      <c r="E64" s="11">
        <v>44034</v>
      </c>
      <c r="F64" s="31">
        <v>27417000</v>
      </c>
      <c r="G64" s="32">
        <v>0</v>
      </c>
      <c r="H64" s="8" t="s">
        <v>143</v>
      </c>
      <c r="I64" s="12">
        <v>9005671308</v>
      </c>
      <c r="J64" s="13" t="s">
        <v>144</v>
      </c>
      <c r="K64" s="14">
        <v>703</v>
      </c>
      <c r="L64" s="15" t="s">
        <v>531</v>
      </c>
      <c r="M64" s="16">
        <v>39000</v>
      </c>
      <c r="N64" s="16">
        <v>0</v>
      </c>
      <c r="O64" s="16">
        <f t="shared" si="5"/>
        <v>27417000</v>
      </c>
      <c r="P64" s="14" t="s">
        <v>59</v>
      </c>
    </row>
    <row r="65" spans="1:16" x14ac:dyDescent="0.3">
      <c r="A65" s="8" t="s">
        <v>86</v>
      </c>
      <c r="B65" s="9">
        <v>52492</v>
      </c>
      <c r="C65" s="10" t="s">
        <v>145</v>
      </c>
      <c r="D65" s="11">
        <v>44035</v>
      </c>
      <c r="E65" s="11">
        <v>44035</v>
      </c>
      <c r="F65" s="31">
        <v>30011800</v>
      </c>
      <c r="G65" s="32">
        <v>0</v>
      </c>
      <c r="H65" s="8" t="s">
        <v>146</v>
      </c>
      <c r="I65" s="12">
        <v>9001413756</v>
      </c>
      <c r="J65" s="13" t="s">
        <v>147</v>
      </c>
      <c r="K65" s="14">
        <v>388</v>
      </c>
      <c r="L65" s="15" t="s">
        <v>250</v>
      </c>
      <c r="M65" s="16">
        <v>65000</v>
      </c>
      <c r="N65" s="16">
        <v>12350</v>
      </c>
      <c r="O65" s="16">
        <f t="shared" si="5"/>
        <v>30011800</v>
      </c>
      <c r="P65" s="14" t="s">
        <v>1383</v>
      </c>
    </row>
    <row r="66" spans="1:16" x14ac:dyDescent="0.3">
      <c r="A66" s="8" t="s">
        <v>86</v>
      </c>
      <c r="B66" s="9">
        <v>52560</v>
      </c>
      <c r="C66" s="10" t="s">
        <v>148</v>
      </c>
      <c r="D66" s="11">
        <v>44036</v>
      </c>
      <c r="E66" s="11">
        <v>44036</v>
      </c>
      <c r="F66" s="31">
        <v>18420129</v>
      </c>
      <c r="G66" s="32">
        <v>0</v>
      </c>
      <c r="H66" s="8" t="s">
        <v>149</v>
      </c>
      <c r="I66" s="12">
        <v>830037946</v>
      </c>
      <c r="J66" s="13" t="s">
        <v>1391</v>
      </c>
      <c r="K66" s="14">
        <v>117</v>
      </c>
      <c r="L66" s="15" t="s">
        <v>1392</v>
      </c>
      <c r="M66" s="16">
        <v>157437</v>
      </c>
      <c r="N66" s="16">
        <v>0</v>
      </c>
      <c r="O66" s="16">
        <f t="shared" si="5"/>
        <v>18420129</v>
      </c>
      <c r="P66" s="14" t="s">
        <v>237</v>
      </c>
    </row>
    <row r="67" spans="1:16" x14ac:dyDescent="0.3">
      <c r="A67" s="8" t="s">
        <v>86</v>
      </c>
      <c r="B67" s="9">
        <v>52574</v>
      </c>
      <c r="C67" s="10" t="s">
        <v>150</v>
      </c>
      <c r="D67" s="11">
        <v>44036</v>
      </c>
      <c r="E67" s="11">
        <v>44036</v>
      </c>
      <c r="F67" s="31">
        <v>84252000</v>
      </c>
      <c r="G67" s="32">
        <v>0</v>
      </c>
      <c r="H67" s="8" t="s">
        <v>146</v>
      </c>
      <c r="I67" s="12">
        <v>9001413756</v>
      </c>
      <c r="J67" s="13" t="s">
        <v>151</v>
      </c>
      <c r="K67" s="14">
        <v>59</v>
      </c>
      <c r="L67" s="15" t="s">
        <v>250</v>
      </c>
      <c r="M67" s="16">
        <v>1200000</v>
      </c>
      <c r="N67" s="16">
        <v>228000</v>
      </c>
      <c r="O67" s="16">
        <f t="shared" si="5"/>
        <v>84252000</v>
      </c>
      <c r="P67" s="14" t="s">
        <v>1274</v>
      </c>
    </row>
    <row r="68" spans="1:16" x14ac:dyDescent="0.3">
      <c r="A68" s="8" t="s">
        <v>86</v>
      </c>
      <c r="B68" s="9">
        <v>53248</v>
      </c>
      <c r="C68" s="10" t="s">
        <v>152</v>
      </c>
      <c r="D68" s="11">
        <v>44048</v>
      </c>
      <c r="E68" s="11">
        <v>44048</v>
      </c>
      <c r="F68" s="31">
        <v>7076358</v>
      </c>
      <c r="G68" s="32">
        <v>0</v>
      </c>
      <c r="H68" s="8" t="s">
        <v>149</v>
      </c>
      <c r="I68" s="12">
        <v>830037946</v>
      </c>
      <c r="J68" s="13" t="s">
        <v>152</v>
      </c>
      <c r="K68" s="14">
        <v>131</v>
      </c>
      <c r="L68" s="15" t="s">
        <v>250</v>
      </c>
      <c r="M68" s="16">
        <v>54018</v>
      </c>
      <c r="N68" s="16">
        <v>0</v>
      </c>
      <c r="O68" s="16">
        <f t="shared" si="5"/>
        <v>7076358</v>
      </c>
      <c r="P68" s="14" t="s">
        <v>383</v>
      </c>
    </row>
    <row r="69" spans="1:16" x14ac:dyDescent="0.3">
      <c r="A69" s="8" t="s">
        <v>153</v>
      </c>
      <c r="B69" s="9" t="s">
        <v>154</v>
      </c>
      <c r="C69" s="10" t="s">
        <v>155</v>
      </c>
      <c r="D69" s="11">
        <v>43907</v>
      </c>
      <c r="E69" s="11">
        <v>43908</v>
      </c>
      <c r="F69" s="31">
        <v>25281431</v>
      </c>
      <c r="G69" s="32">
        <v>0</v>
      </c>
      <c r="H69" s="8" t="s">
        <v>19</v>
      </c>
      <c r="I69" s="12">
        <v>901095058</v>
      </c>
      <c r="J69" s="13" t="s">
        <v>156</v>
      </c>
      <c r="K69" s="14">
        <v>1350</v>
      </c>
      <c r="L69" s="15" t="s">
        <v>250</v>
      </c>
      <c r="M69" s="16">
        <v>15374</v>
      </c>
      <c r="N69" s="16">
        <f>M69*0.19</f>
        <v>2921.06</v>
      </c>
      <c r="O69" s="16">
        <f t="shared" si="5"/>
        <v>24698331</v>
      </c>
      <c r="P69" s="14" t="s">
        <v>21</v>
      </c>
    </row>
    <row r="70" spans="1:16" x14ac:dyDescent="0.3">
      <c r="A70" s="8" t="s">
        <v>153</v>
      </c>
      <c r="B70" s="9" t="s">
        <v>154</v>
      </c>
      <c r="C70" s="10" t="s">
        <v>155</v>
      </c>
      <c r="D70" s="11">
        <v>43907</v>
      </c>
      <c r="E70" s="11">
        <v>43908</v>
      </c>
      <c r="F70" s="31">
        <v>25281431</v>
      </c>
      <c r="G70" s="32">
        <v>0</v>
      </c>
      <c r="H70" s="8" t="s">
        <v>19</v>
      </c>
      <c r="I70" s="12">
        <v>901095058</v>
      </c>
      <c r="J70" s="13" t="s">
        <v>157</v>
      </c>
      <c r="K70" s="14">
        <v>70</v>
      </c>
      <c r="L70" s="15" t="s">
        <v>250</v>
      </c>
      <c r="M70" s="16">
        <v>7000</v>
      </c>
      <c r="N70" s="16">
        <f>M70*0.19</f>
        <v>1330</v>
      </c>
      <c r="O70" s="16">
        <f t="shared" si="5"/>
        <v>583100</v>
      </c>
      <c r="P70" s="14" t="s">
        <v>25</v>
      </c>
    </row>
    <row r="71" spans="1:16" x14ac:dyDescent="0.3">
      <c r="A71" s="8" t="s">
        <v>153</v>
      </c>
      <c r="B71" s="9" t="s">
        <v>158</v>
      </c>
      <c r="C71" s="10" t="s">
        <v>159</v>
      </c>
      <c r="D71" s="11">
        <v>43917</v>
      </c>
      <c r="E71" s="11">
        <v>43917</v>
      </c>
      <c r="F71" s="31">
        <v>11284977</v>
      </c>
      <c r="G71" s="32">
        <v>0</v>
      </c>
      <c r="H71" s="8" t="s">
        <v>160</v>
      </c>
      <c r="I71" s="12">
        <v>1095815252</v>
      </c>
      <c r="J71" s="13" t="s">
        <v>161</v>
      </c>
      <c r="K71" s="14">
        <v>37</v>
      </c>
      <c r="L71" s="15" t="s">
        <v>250</v>
      </c>
      <c r="M71" s="16">
        <v>138655</v>
      </c>
      <c r="N71" s="16">
        <f>M71*0.19</f>
        <v>26344.45</v>
      </c>
      <c r="O71" s="16">
        <f t="shared" si="5"/>
        <v>6104979.6500000004</v>
      </c>
      <c r="P71" s="14" t="s">
        <v>162</v>
      </c>
    </row>
    <row r="72" spans="1:16" x14ac:dyDescent="0.3">
      <c r="A72" s="8" t="s">
        <v>153</v>
      </c>
      <c r="B72" s="9" t="s">
        <v>158</v>
      </c>
      <c r="C72" s="10" t="s">
        <v>159</v>
      </c>
      <c r="D72" s="11">
        <v>43917</v>
      </c>
      <c r="E72" s="11">
        <v>43917</v>
      </c>
      <c r="F72" s="31">
        <v>11284977</v>
      </c>
      <c r="G72" s="32">
        <v>0</v>
      </c>
      <c r="H72" s="8" t="s">
        <v>160</v>
      </c>
      <c r="I72" s="12">
        <v>1095815252</v>
      </c>
      <c r="J72" s="13" t="s">
        <v>163</v>
      </c>
      <c r="K72" s="14">
        <v>37</v>
      </c>
      <c r="L72" s="15" t="s">
        <v>250</v>
      </c>
      <c r="M72" s="16">
        <v>117647</v>
      </c>
      <c r="N72" s="16">
        <f>M72*0.19</f>
        <v>22352.93</v>
      </c>
      <c r="O72" s="16">
        <f t="shared" si="5"/>
        <v>5179997.41</v>
      </c>
      <c r="P72" s="14" t="s">
        <v>164</v>
      </c>
    </row>
    <row r="73" spans="1:16" x14ac:dyDescent="0.3">
      <c r="A73" s="8" t="s">
        <v>153</v>
      </c>
      <c r="B73" s="9" t="s">
        <v>165</v>
      </c>
      <c r="C73" s="10" t="s">
        <v>166</v>
      </c>
      <c r="D73" s="11">
        <v>43938</v>
      </c>
      <c r="E73" s="11">
        <v>43938</v>
      </c>
      <c r="F73" s="31">
        <v>27000000</v>
      </c>
      <c r="G73" s="32">
        <v>0</v>
      </c>
      <c r="H73" s="8" t="s">
        <v>167</v>
      </c>
      <c r="I73" s="12">
        <v>900481697</v>
      </c>
      <c r="J73" s="13" t="s">
        <v>168</v>
      </c>
      <c r="K73" s="14">
        <f>360*50</f>
        <v>18000</v>
      </c>
      <c r="L73" s="15" t="s">
        <v>250</v>
      </c>
      <c r="M73" s="16">
        <f>1500</f>
        <v>1500</v>
      </c>
      <c r="N73" s="16">
        <v>0</v>
      </c>
      <c r="O73" s="16">
        <f t="shared" si="5"/>
        <v>27000000</v>
      </c>
      <c r="P73" s="14" t="s">
        <v>95</v>
      </c>
    </row>
    <row r="74" spans="1:16" x14ac:dyDescent="0.3">
      <c r="A74" s="8" t="s">
        <v>153</v>
      </c>
      <c r="B74" s="9" t="s">
        <v>169</v>
      </c>
      <c r="C74" s="10" t="s">
        <v>170</v>
      </c>
      <c r="D74" s="11">
        <v>43910</v>
      </c>
      <c r="E74" s="11">
        <v>43910</v>
      </c>
      <c r="F74" s="31">
        <v>33831700</v>
      </c>
      <c r="G74" s="32">
        <v>0</v>
      </c>
      <c r="H74" s="8" t="s">
        <v>171</v>
      </c>
      <c r="I74" s="12">
        <v>830037946</v>
      </c>
      <c r="J74" s="13" t="s">
        <v>1475</v>
      </c>
      <c r="K74" s="14">
        <f>1500*3.8</f>
        <v>5700</v>
      </c>
      <c r="L74" s="15" t="s">
        <v>172</v>
      </c>
      <c r="M74" s="16">
        <f>19992/3.8</f>
        <v>5261.0526315789475</v>
      </c>
      <c r="N74" s="16">
        <v>0</v>
      </c>
      <c r="O74" s="16">
        <f t="shared" si="5"/>
        <v>29988000</v>
      </c>
      <c r="P74" s="14" t="s">
        <v>36</v>
      </c>
    </row>
    <row r="75" spans="1:16" x14ac:dyDescent="0.3">
      <c r="A75" s="8" t="s">
        <v>153</v>
      </c>
      <c r="B75" s="9" t="s">
        <v>169</v>
      </c>
      <c r="C75" s="10" t="s">
        <v>170</v>
      </c>
      <c r="D75" s="11">
        <v>43910</v>
      </c>
      <c r="E75" s="11">
        <v>43910</v>
      </c>
      <c r="F75" s="31">
        <v>33831700</v>
      </c>
      <c r="G75" s="32">
        <v>0</v>
      </c>
      <c r="H75" s="8" t="s">
        <v>171</v>
      </c>
      <c r="I75" s="12">
        <v>830037946</v>
      </c>
      <c r="J75" s="13" t="s">
        <v>173</v>
      </c>
      <c r="K75" s="14">
        <v>500</v>
      </c>
      <c r="L75" s="15" t="s">
        <v>1277</v>
      </c>
      <c r="M75" s="16">
        <v>6664</v>
      </c>
      <c r="N75" s="16">
        <v>0</v>
      </c>
      <c r="O75" s="16">
        <f t="shared" si="5"/>
        <v>3332000</v>
      </c>
      <c r="P75" s="14" t="s">
        <v>94</v>
      </c>
    </row>
    <row r="76" spans="1:16" x14ac:dyDescent="0.3">
      <c r="A76" s="8" t="s">
        <v>153</v>
      </c>
      <c r="B76" s="9" t="s">
        <v>169</v>
      </c>
      <c r="C76" s="10" t="s">
        <v>170</v>
      </c>
      <c r="D76" s="11">
        <v>43910</v>
      </c>
      <c r="E76" s="11">
        <v>43910</v>
      </c>
      <c r="F76" s="31">
        <v>33831700</v>
      </c>
      <c r="G76" s="32">
        <v>0</v>
      </c>
      <c r="H76" s="8" t="s">
        <v>171</v>
      </c>
      <c r="I76" s="12">
        <v>830037946</v>
      </c>
      <c r="J76" s="13" t="s">
        <v>1476</v>
      </c>
      <c r="K76" s="14">
        <v>50</v>
      </c>
      <c r="L76" s="15" t="s">
        <v>172</v>
      </c>
      <c r="M76" s="16">
        <f>5117*2</f>
        <v>10234</v>
      </c>
      <c r="N76" s="16">
        <v>0</v>
      </c>
      <c r="O76" s="16">
        <f t="shared" si="5"/>
        <v>511700</v>
      </c>
      <c r="P76" s="14" t="s">
        <v>36</v>
      </c>
    </row>
    <row r="77" spans="1:16" x14ac:dyDescent="0.3">
      <c r="A77" s="8" t="s">
        <v>153</v>
      </c>
      <c r="B77" s="9" t="s">
        <v>174</v>
      </c>
      <c r="C77" s="10" t="s">
        <v>175</v>
      </c>
      <c r="D77" s="11">
        <v>43958</v>
      </c>
      <c r="E77" s="11">
        <v>43958</v>
      </c>
      <c r="F77" s="31">
        <v>17825000</v>
      </c>
      <c r="G77" s="32">
        <v>0</v>
      </c>
      <c r="H77" s="8" t="s">
        <v>176</v>
      </c>
      <c r="I77" s="12">
        <v>900017447</v>
      </c>
      <c r="J77" s="13" t="s">
        <v>177</v>
      </c>
      <c r="K77" s="14">
        <v>31</v>
      </c>
      <c r="L77" s="15" t="s">
        <v>250</v>
      </c>
      <c r="M77" s="16">
        <v>575000</v>
      </c>
      <c r="N77" s="16">
        <v>0</v>
      </c>
      <c r="O77" s="16">
        <f t="shared" si="5"/>
        <v>17825000</v>
      </c>
      <c r="P77" s="14" t="s">
        <v>136</v>
      </c>
    </row>
    <row r="78" spans="1:16" x14ac:dyDescent="0.3">
      <c r="A78" s="8" t="s">
        <v>153</v>
      </c>
      <c r="B78" s="9" t="s">
        <v>178</v>
      </c>
      <c r="C78" s="10" t="s">
        <v>179</v>
      </c>
      <c r="D78" s="11">
        <v>43958</v>
      </c>
      <c r="E78" s="11">
        <v>43958</v>
      </c>
      <c r="F78" s="31">
        <v>3284400</v>
      </c>
      <c r="G78" s="32">
        <v>0</v>
      </c>
      <c r="H78" s="8" t="s">
        <v>180</v>
      </c>
      <c r="I78" s="12">
        <v>830037946</v>
      </c>
      <c r="J78" s="13" t="s">
        <v>181</v>
      </c>
      <c r="K78" s="14">
        <v>1840</v>
      </c>
      <c r="L78" s="15" t="s">
        <v>250</v>
      </c>
      <c r="M78" s="16">
        <v>1785</v>
      </c>
      <c r="N78" s="16">
        <v>0</v>
      </c>
      <c r="O78" s="16">
        <f t="shared" si="5"/>
        <v>3284400</v>
      </c>
      <c r="P78" s="14" t="s">
        <v>182</v>
      </c>
    </row>
    <row r="79" spans="1:16" x14ac:dyDescent="0.3">
      <c r="A79" s="8" t="s">
        <v>153</v>
      </c>
      <c r="B79" s="9" t="s">
        <v>183</v>
      </c>
      <c r="C79" s="10" t="s">
        <v>184</v>
      </c>
      <c r="D79" s="11">
        <v>43959</v>
      </c>
      <c r="E79" s="11">
        <v>43959</v>
      </c>
      <c r="F79" s="31">
        <v>2416900</v>
      </c>
      <c r="G79" s="32">
        <v>0</v>
      </c>
      <c r="H79" s="8" t="s">
        <v>185</v>
      </c>
      <c r="I79" s="12">
        <v>10125834</v>
      </c>
      <c r="J79" s="13" t="s">
        <v>1447</v>
      </c>
      <c r="K79" s="24">
        <v>193.05591000000001</v>
      </c>
      <c r="L79" s="15" t="s">
        <v>172</v>
      </c>
      <c r="M79" s="16">
        <f>41900/3.78541</f>
        <v>11068.814210349738</v>
      </c>
      <c r="N79" s="16">
        <v>0</v>
      </c>
      <c r="O79" s="16">
        <f t="shared" si="5"/>
        <v>2136900</v>
      </c>
      <c r="P79" s="14" t="s">
        <v>34</v>
      </c>
    </row>
    <row r="80" spans="1:16" x14ac:dyDescent="0.3">
      <c r="A80" s="8" t="s">
        <v>153</v>
      </c>
      <c r="B80" s="9" t="s">
        <v>186</v>
      </c>
      <c r="C80" s="10" t="s">
        <v>187</v>
      </c>
      <c r="D80" s="11">
        <v>43959</v>
      </c>
      <c r="E80" s="11">
        <v>43959</v>
      </c>
      <c r="F80" s="31">
        <v>30000000</v>
      </c>
      <c r="G80" s="32">
        <v>0</v>
      </c>
      <c r="H80" s="8" t="s">
        <v>188</v>
      </c>
      <c r="I80" s="12">
        <v>900353659</v>
      </c>
      <c r="J80" s="13" t="s">
        <v>189</v>
      </c>
      <c r="K80" s="24">
        <v>2000</v>
      </c>
      <c r="L80" s="15" t="s">
        <v>172</v>
      </c>
      <c r="M80" s="16">
        <v>15000</v>
      </c>
      <c r="N80" s="16">
        <v>0</v>
      </c>
      <c r="O80" s="16">
        <f t="shared" si="5"/>
        <v>30000000</v>
      </c>
      <c r="P80" s="14" t="s">
        <v>34</v>
      </c>
    </row>
    <row r="81" spans="1:16" x14ac:dyDescent="0.3">
      <c r="A81" s="8" t="s">
        <v>153</v>
      </c>
      <c r="B81" s="9" t="s">
        <v>190</v>
      </c>
      <c r="C81" s="10" t="s">
        <v>191</v>
      </c>
      <c r="D81" s="11">
        <v>43959</v>
      </c>
      <c r="E81" s="11">
        <v>43959</v>
      </c>
      <c r="F81" s="31">
        <v>7907306</v>
      </c>
      <c r="G81" s="32">
        <v>0</v>
      </c>
      <c r="H81" s="8" t="s">
        <v>51</v>
      </c>
      <c r="I81" s="12">
        <v>830001338</v>
      </c>
      <c r="J81" s="13" t="s">
        <v>1462</v>
      </c>
      <c r="K81" s="24">
        <f>(1099*750)/1000</f>
        <v>824.25</v>
      </c>
      <c r="L81" s="15" t="s">
        <v>172</v>
      </c>
      <c r="M81" s="16">
        <f>7195*1000/750</f>
        <v>9593.3333333333339</v>
      </c>
      <c r="N81" s="16">
        <v>0</v>
      </c>
      <c r="O81" s="16">
        <f t="shared" si="5"/>
        <v>7907305.0000000009</v>
      </c>
      <c r="P81" s="14" t="s">
        <v>96</v>
      </c>
    </row>
    <row r="82" spans="1:16" x14ac:dyDescent="0.3">
      <c r="A82" s="8" t="s">
        <v>153</v>
      </c>
      <c r="B82" s="9" t="s">
        <v>192</v>
      </c>
      <c r="C82" s="10" t="s">
        <v>193</v>
      </c>
      <c r="D82" s="11">
        <v>43963</v>
      </c>
      <c r="E82" s="11">
        <v>43964</v>
      </c>
      <c r="F82" s="31">
        <v>10399998</v>
      </c>
      <c r="G82" s="32">
        <v>0</v>
      </c>
      <c r="H82" s="8" t="s">
        <v>194</v>
      </c>
      <c r="I82" s="12">
        <v>900151140</v>
      </c>
      <c r="J82" s="13" t="s">
        <v>195</v>
      </c>
      <c r="K82" s="14">
        <v>32</v>
      </c>
      <c r="L82" s="15" t="s">
        <v>251</v>
      </c>
      <c r="M82" s="16">
        <v>210083.99</v>
      </c>
      <c r="N82" s="16">
        <f>M82*0.19</f>
        <v>39915.958099999996</v>
      </c>
      <c r="O82" s="16">
        <f t="shared" si="5"/>
        <v>7999998.3391999993</v>
      </c>
      <c r="P82" s="14" t="s">
        <v>196</v>
      </c>
    </row>
    <row r="83" spans="1:16" x14ac:dyDescent="0.3">
      <c r="A83" s="8" t="s">
        <v>153</v>
      </c>
      <c r="B83" s="9" t="s">
        <v>192</v>
      </c>
      <c r="C83" s="10" t="s">
        <v>193</v>
      </c>
      <c r="D83" s="11">
        <v>43963</v>
      </c>
      <c r="E83" s="11">
        <v>43964</v>
      </c>
      <c r="F83" s="31">
        <v>10399998</v>
      </c>
      <c r="G83" s="32">
        <v>0</v>
      </c>
      <c r="H83" s="8" t="s">
        <v>194</v>
      </c>
      <c r="I83" s="12">
        <v>900151140</v>
      </c>
      <c r="J83" s="13" t="s">
        <v>197</v>
      </c>
      <c r="K83" s="24">
        <v>144</v>
      </c>
      <c r="L83" s="15" t="s">
        <v>172</v>
      </c>
      <c r="M83" s="16">
        <f>75000/4.5</f>
        <v>16666.666666666668</v>
      </c>
      <c r="N83" s="16">
        <v>0</v>
      </c>
      <c r="O83" s="16">
        <f t="shared" si="5"/>
        <v>2400000</v>
      </c>
      <c r="P83" s="14" t="s">
        <v>34</v>
      </c>
    </row>
    <row r="84" spans="1:16" x14ac:dyDescent="0.3">
      <c r="A84" s="8" t="s">
        <v>153</v>
      </c>
      <c r="B84" s="9" t="s">
        <v>198</v>
      </c>
      <c r="C84" s="10" t="s">
        <v>199</v>
      </c>
      <c r="D84" s="11">
        <v>43963</v>
      </c>
      <c r="E84" s="11">
        <v>43963</v>
      </c>
      <c r="F84" s="31">
        <v>1142400</v>
      </c>
      <c r="G84" s="32">
        <v>0</v>
      </c>
      <c r="H84" s="8" t="s">
        <v>200</v>
      </c>
      <c r="I84" s="12">
        <v>830037946</v>
      </c>
      <c r="J84" s="13" t="s">
        <v>201</v>
      </c>
      <c r="K84" s="14">
        <v>100</v>
      </c>
      <c r="L84" s="15" t="s">
        <v>250</v>
      </c>
      <c r="M84" s="16">
        <v>9600</v>
      </c>
      <c r="N84" s="16">
        <f>M84*0.19</f>
        <v>1824</v>
      </c>
      <c r="O84" s="16">
        <f t="shared" si="5"/>
        <v>1142400</v>
      </c>
      <c r="P84" s="14" t="s">
        <v>202</v>
      </c>
    </row>
    <row r="85" spans="1:16" x14ac:dyDescent="0.3">
      <c r="A85" s="8" t="s">
        <v>153</v>
      </c>
      <c r="B85" s="9" t="s">
        <v>203</v>
      </c>
      <c r="C85" s="10" t="s">
        <v>204</v>
      </c>
      <c r="D85" s="11">
        <v>43969</v>
      </c>
      <c r="E85" s="11">
        <v>43969</v>
      </c>
      <c r="F85" s="31">
        <v>34947325</v>
      </c>
      <c r="G85" s="32">
        <v>0</v>
      </c>
      <c r="H85" s="8" t="s">
        <v>205</v>
      </c>
      <c r="I85" s="12">
        <v>830044858</v>
      </c>
      <c r="J85" s="13" t="s">
        <v>206</v>
      </c>
      <c r="K85" s="14">
        <v>7</v>
      </c>
      <c r="L85" s="15" t="s">
        <v>1284</v>
      </c>
      <c r="M85" s="16">
        <v>269000</v>
      </c>
      <c r="N85" s="16">
        <f>M85*0.19</f>
        <v>51110</v>
      </c>
      <c r="O85" s="16">
        <f t="shared" si="5"/>
        <v>2240770</v>
      </c>
      <c r="P85" s="14" t="s">
        <v>1373</v>
      </c>
    </row>
    <row r="86" spans="1:16" x14ac:dyDescent="0.3">
      <c r="A86" s="8" t="s">
        <v>153</v>
      </c>
      <c r="B86" s="9" t="s">
        <v>203</v>
      </c>
      <c r="C86" s="10" t="s">
        <v>204</v>
      </c>
      <c r="D86" s="11">
        <v>43969</v>
      </c>
      <c r="E86" s="11">
        <v>43969</v>
      </c>
      <c r="F86" s="31">
        <v>34947325</v>
      </c>
      <c r="G86" s="32">
        <v>0</v>
      </c>
      <c r="H86" s="8" t="s">
        <v>205</v>
      </c>
      <c r="I86" s="12">
        <v>830044858</v>
      </c>
      <c r="J86" s="13" t="s">
        <v>207</v>
      </c>
      <c r="K86" s="14">
        <v>46</v>
      </c>
      <c r="L86" s="15" t="s">
        <v>1284</v>
      </c>
      <c r="M86" s="16">
        <v>219000</v>
      </c>
      <c r="N86" s="16">
        <f>M86*0.19</f>
        <v>41610</v>
      </c>
      <c r="O86" s="16">
        <f t="shared" si="5"/>
        <v>11988060</v>
      </c>
      <c r="P86" s="14" t="s">
        <v>1373</v>
      </c>
    </row>
    <row r="87" spans="1:16" x14ac:dyDescent="0.3">
      <c r="A87" s="8" t="s">
        <v>153</v>
      </c>
      <c r="B87" s="9" t="s">
        <v>203</v>
      </c>
      <c r="C87" s="10" t="s">
        <v>204</v>
      </c>
      <c r="D87" s="11">
        <v>43969</v>
      </c>
      <c r="E87" s="11">
        <v>43969</v>
      </c>
      <c r="F87" s="31">
        <v>34947325</v>
      </c>
      <c r="G87" s="32">
        <v>0</v>
      </c>
      <c r="H87" s="8" t="s">
        <v>205</v>
      </c>
      <c r="I87" s="12">
        <v>830044858</v>
      </c>
      <c r="J87" s="13" t="s">
        <v>208</v>
      </c>
      <c r="K87" s="14">
        <v>53</v>
      </c>
      <c r="L87" s="15" t="s">
        <v>1284</v>
      </c>
      <c r="M87" s="16">
        <v>219000</v>
      </c>
      <c r="N87" s="16">
        <f>M87*0.19</f>
        <v>41610</v>
      </c>
      <c r="O87" s="16">
        <f t="shared" si="5"/>
        <v>13812330</v>
      </c>
      <c r="P87" s="14" t="s">
        <v>1373</v>
      </c>
    </row>
    <row r="88" spans="1:16" x14ac:dyDescent="0.3">
      <c r="A88" s="8" t="s">
        <v>153</v>
      </c>
      <c r="B88" s="9" t="s">
        <v>209</v>
      </c>
      <c r="C88" s="10" t="s">
        <v>210</v>
      </c>
      <c r="D88" s="11">
        <v>43970</v>
      </c>
      <c r="E88" s="11">
        <v>43970</v>
      </c>
      <c r="F88" s="31">
        <v>9318300</v>
      </c>
      <c r="G88" s="32">
        <v>0</v>
      </c>
      <c r="H88" s="8" t="s">
        <v>211</v>
      </c>
      <c r="I88" s="12">
        <v>900350133</v>
      </c>
      <c r="J88" s="13" t="s">
        <v>59</v>
      </c>
      <c r="K88" s="14">
        <f>178</f>
        <v>178</v>
      </c>
      <c r="L88" s="15" t="s">
        <v>531</v>
      </c>
      <c r="M88" s="16">
        <f>52350</f>
        <v>52350</v>
      </c>
      <c r="N88" s="16">
        <v>0</v>
      </c>
      <c r="O88" s="16">
        <f t="shared" si="5"/>
        <v>9318300</v>
      </c>
      <c r="P88" s="14" t="s">
        <v>59</v>
      </c>
    </row>
    <row r="89" spans="1:16" x14ac:dyDescent="0.3">
      <c r="A89" s="8" t="s">
        <v>153</v>
      </c>
      <c r="B89" s="9" t="s">
        <v>212</v>
      </c>
      <c r="C89" s="10" t="s">
        <v>213</v>
      </c>
      <c r="D89" s="11">
        <v>43971</v>
      </c>
      <c r="E89" s="11">
        <v>43971</v>
      </c>
      <c r="F89" s="31">
        <v>7102970</v>
      </c>
      <c r="G89" s="32">
        <v>0</v>
      </c>
      <c r="H89" s="8" t="s">
        <v>214</v>
      </c>
      <c r="I89" s="12">
        <v>890900943</v>
      </c>
      <c r="J89" s="13" t="s">
        <v>215</v>
      </c>
      <c r="K89" s="14">
        <v>5</v>
      </c>
      <c r="L89" s="15" t="s">
        <v>250</v>
      </c>
      <c r="M89" s="16">
        <f>1420594/1.19</f>
        <v>1193776.4705882354</v>
      </c>
      <c r="N89" s="16">
        <f>M89*0.19</f>
        <v>226817.52941176473</v>
      </c>
      <c r="O89" s="16">
        <f t="shared" si="5"/>
        <v>7102970.0000000009</v>
      </c>
      <c r="P89" s="14" t="s">
        <v>1274</v>
      </c>
    </row>
    <row r="90" spans="1:16" x14ac:dyDescent="0.3">
      <c r="A90" s="8" t="s">
        <v>153</v>
      </c>
      <c r="B90" s="9" t="s">
        <v>216</v>
      </c>
      <c r="C90" s="10" t="s">
        <v>217</v>
      </c>
      <c r="D90" s="11">
        <v>43977</v>
      </c>
      <c r="E90" s="11">
        <v>43977</v>
      </c>
      <c r="F90" s="31">
        <v>2990000</v>
      </c>
      <c r="G90" s="32">
        <v>0</v>
      </c>
      <c r="H90" s="8" t="s">
        <v>218</v>
      </c>
      <c r="I90" s="12">
        <v>900155107</v>
      </c>
      <c r="J90" s="13" t="s">
        <v>219</v>
      </c>
      <c r="K90" s="14">
        <v>23</v>
      </c>
      <c r="L90" s="15" t="s">
        <v>250</v>
      </c>
      <c r="M90" s="16">
        <f>130000/1.19</f>
        <v>109243.6974789916</v>
      </c>
      <c r="N90" s="16">
        <f>M90*19%</f>
        <v>20756.302521008405</v>
      </c>
      <c r="O90" s="16">
        <f t="shared" si="5"/>
        <v>2990000</v>
      </c>
      <c r="P90" s="14" t="s">
        <v>1383</v>
      </c>
    </row>
    <row r="91" spans="1:16" x14ac:dyDescent="0.3">
      <c r="A91" s="8" t="s">
        <v>153</v>
      </c>
      <c r="B91" s="9" t="s">
        <v>220</v>
      </c>
      <c r="C91" s="10" t="s">
        <v>221</v>
      </c>
      <c r="D91" s="11">
        <v>43979</v>
      </c>
      <c r="E91" s="11">
        <v>43979</v>
      </c>
      <c r="F91" s="31">
        <v>41536001</v>
      </c>
      <c r="G91" s="32">
        <v>0</v>
      </c>
      <c r="H91" s="8" t="s">
        <v>51</v>
      </c>
      <c r="I91" s="12">
        <v>830001338</v>
      </c>
      <c r="J91" s="13" t="s">
        <v>43</v>
      </c>
      <c r="K91" s="14">
        <f>320*2*50</f>
        <v>32000</v>
      </c>
      <c r="L91" s="15" t="s">
        <v>250</v>
      </c>
      <c r="M91" s="16">
        <f>129800/2/50</f>
        <v>1298</v>
      </c>
      <c r="N91" s="16">
        <v>0</v>
      </c>
      <c r="O91" s="16">
        <f t="shared" si="5"/>
        <v>41536000</v>
      </c>
      <c r="P91" s="14" t="s">
        <v>95</v>
      </c>
    </row>
    <row r="92" spans="1:16" x14ac:dyDescent="0.3">
      <c r="A92" s="8" t="s">
        <v>153</v>
      </c>
      <c r="B92" s="9" t="s">
        <v>222</v>
      </c>
      <c r="C92" s="10" t="s">
        <v>223</v>
      </c>
      <c r="D92" s="11">
        <v>43984</v>
      </c>
      <c r="E92" s="11">
        <v>43984</v>
      </c>
      <c r="F92" s="31">
        <v>278000</v>
      </c>
      <c r="G92" s="32">
        <v>0</v>
      </c>
      <c r="H92" s="8" t="s">
        <v>224</v>
      </c>
      <c r="I92" s="12">
        <v>900300970</v>
      </c>
      <c r="J92" s="13" t="s">
        <v>43</v>
      </c>
      <c r="K92" s="14">
        <f>4*50</f>
        <v>200</v>
      </c>
      <c r="L92" s="15" t="s">
        <v>250</v>
      </c>
      <c r="M92" s="16">
        <f>129000/2/50</f>
        <v>1290</v>
      </c>
      <c r="N92" s="16">
        <v>0</v>
      </c>
      <c r="O92" s="16">
        <f t="shared" si="5"/>
        <v>258000</v>
      </c>
      <c r="P92" s="14" t="s">
        <v>95</v>
      </c>
    </row>
    <row r="93" spans="1:16" x14ac:dyDescent="0.3">
      <c r="A93" s="8" t="s">
        <v>153</v>
      </c>
      <c r="B93" s="9" t="s">
        <v>225</v>
      </c>
      <c r="C93" s="10" t="s">
        <v>226</v>
      </c>
      <c r="D93" s="11">
        <v>43984</v>
      </c>
      <c r="E93" s="11">
        <v>43984</v>
      </c>
      <c r="F93" s="31">
        <v>9984000</v>
      </c>
      <c r="G93" s="32">
        <v>0</v>
      </c>
      <c r="H93" s="8" t="s">
        <v>227</v>
      </c>
      <c r="I93" s="12">
        <v>900704052</v>
      </c>
      <c r="J93" s="13" t="s">
        <v>1279</v>
      </c>
      <c r="K93" s="14">
        <v>2000</v>
      </c>
      <c r="L93" s="15" t="s">
        <v>1277</v>
      </c>
      <c r="M93" s="16">
        <v>4742</v>
      </c>
      <c r="N93" s="16">
        <v>0</v>
      </c>
      <c r="O93" s="16">
        <f t="shared" si="5"/>
        <v>9484000</v>
      </c>
      <c r="P93" s="14" t="s">
        <v>94</v>
      </c>
    </row>
    <row r="94" spans="1:16" x14ac:dyDescent="0.3">
      <c r="A94" s="8" t="s">
        <v>153</v>
      </c>
      <c r="B94" s="9" t="s">
        <v>228</v>
      </c>
      <c r="C94" s="10" t="s">
        <v>229</v>
      </c>
      <c r="D94" s="11">
        <v>43986</v>
      </c>
      <c r="E94" s="11">
        <v>43986</v>
      </c>
      <c r="F94" s="31">
        <v>11002000</v>
      </c>
      <c r="G94" s="32">
        <v>0</v>
      </c>
      <c r="H94" s="8" t="s">
        <v>230</v>
      </c>
      <c r="I94" s="12">
        <v>860062147</v>
      </c>
      <c r="J94" s="13" t="s">
        <v>231</v>
      </c>
      <c r="K94" s="14">
        <v>829</v>
      </c>
      <c r="L94" s="15" t="s">
        <v>250</v>
      </c>
      <c r="M94" s="16">
        <v>13000</v>
      </c>
      <c r="N94" s="16">
        <v>0</v>
      </c>
      <c r="O94" s="16">
        <f t="shared" si="5"/>
        <v>10777000</v>
      </c>
      <c r="P94" s="14" t="s">
        <v>232</v>
      </c>
    </row>
    <row r="95" spans="1:16" x14ac:dyDescent="0.3">
      <c r="A95" s="8" t="s">
        <v>153</v>
      </c>
      <c r="B95" s="9" t="s">
        <v>233</v>
      </c>
      <c r="C95" s="10" t="s">
        <v>234</v>
      </c>
      <c r="D95" s="11">
        <v>43994</v>
      </c>
      <c r="E95" s="11">
        <v>44001</v>
      </c>
      <c r="F95" s="31">
        <v>4235200</v>
      </c>
      <c r="G95" s="32">
        <v>0</v>
      </c>
      <c r="H95" s="8" t="s">
        <v>235</v>
      </c>
      <c r="I95" s="12">
        <v>138486039</v>
      </c>
      <c r="J95" s="13" t="s">
        <v>236</v>
      </c>
      <c r="K95" s="14">
        <v>104</v>
      </c>
      <c r="L95" s="15" t="s">
        <v>250</v>
      </c>
      <c r="M95" s="16">
        <f>22000/1.19</f>
        <v>18487.394957983193</v>
      </c>
      <c r="N95" s="16">
        <f>M95*19%</f>
        <v>3512.6050420168067</v>
      </c>
      <c r="O95" s="16">
        <f t="shared" si="5"/>
        <v>2288000</v>
      </c>
      <c r="P95" s="14" t="s">
        <v>237</v>
      </c>
    </row>
    <row r="96" spans="1:16" x14ac:dyDescent="0.3">
      <c r="A96" s="8" t="s">
        <v>153</v>
      </c>
      <c r="B96" s="9" t="s">
        <v>233</v>
      </c>
      <c r="C96" s="10" t="s">
        <v>234</v>
      </c>
      <c r="D96" s="11">
        <v>43994</v>
      </c>
      <c r="E96" s="11">
        <v>44001</v>
      </c>
      <c r="F96" s="31">
        <v>4235200</v>
      </c>
      <c r="G96" s="32">
        <v>0</v>
      </c>
      <c r="H96" s="8" t="s">
        <v>235</v>
      </c>
      <c r="I96" s="12">
        <v>138486039</v>
      </c>
      <c r="J96" s="13" t="s">
        <v>238</v>
      </c>
      <c r="K96" s="14">
        <v>108</v>
      </c>
      <c r="L96" s="15" t="s">
        <v>250</v>
      </c>
      <c r="M96" s="16">
        <f>3200/1.19</f>
        <v>2689.0756302521008</v>
      </c>
      <c r="N96" s="16">
        <f>M96*19%</f>
        <v>510.92436974789916</v>
      </c>
      <c r="O96" s="16">
        <f t="shared" si="5"/>
        <v>345600</v>
      </c>
      <c r="P96" s="14" t="s">
        <v>237</v>
      </c>
    </row>
    <row r="97" spans="1:16" ht="15.6" x14ac:dyDescent="0.3">
      <c r="A97" s="8" t="s">
        <v>153</v>
      </c>
      <c r="B97" s="9" t="s">
        <v>233</v>
      </c>
      <c r="C97" s="10" t="s">
        <v>234</v>
      </c>
      <c r="D97" s="11">
        <v>43994</v>
      </c>
      <c r="E97" s="11">
        <v>44001</v>
      </c>
      <c r="F97" s="31">
        <v>4235200</v>
      </c>
      <c r="G97" s="32">
        <v>0</v>
      </c>
      <c r="H97" s="8" t="s">
        <v>235</v>
      </c>
      <c r="I97" s="12">
        <v>138486039</v>
      </c>
      <c r="J97" s="13" t="s">
        <v>239</v>
      </c>
      <c r="K97" s="14">
        <v>572</v>
      </c>
      <c r="L97" s="15" t="s">
        <v>250</v>
      </c>
      <c r="M97" s="16">
        <f>2800/1.19</f>
        <v>2352.9411764705883</v>
      </c>
      <c r="N97" s="16">
        <f>M97*19%</f>
        <v>447.05882352941177</v>
      </c>
      <c r="O97" s="16">
        <f t="shared" si="5"/>
        <v>1601600</v>
      </c>
      <c r="P97" s="14" t="s">
        <v>237</v>
      </c>
    </row>
    <row r="98" spans="1:16" x14ac:dyDescent="0.3">
      <c r="A98" s="8" t="s">
        <v>153</v>
      </c>
      <c r="B98" s="9" t="s">
        <v>240</v>
      </c>
      <c r="C98" s="10" t="s">
        <v>241</v>
      </c>
      <c r="D98" s="11">
        <v>43999</v>
      </c>
      <c r="E98" s="11">
        <v>44001</v>
      </c>
      <c r="F98" s="31">
        <v>206400000</v>
      </c>
      <c r="G98" s="32">
        <v>0</v>
      </c>
      <c r="H98" s="8" t="s">
        <v>242</v>
      </c>
      <c r="I98" s="12">
        <v>890209025</v>
      </c>
      <c r="J98" s="13" t="s">
        <v>1497</v>
      </c>
      <c r="K98" s="14">
        <v>12</v>
      </c>
      <c r="L98" s="15" t="s">
        <v>1281</v>
      </c>
      <c r="M98" s="16">
        <v>2400000</v>
      </c>
      <c r="N98" s="16">
        <v>0</v>
      </c>
      <c r="O98" s="16">
        <f t="shared" si="5"/>
        <v>28800000</v>
      </c>
      <c r="P98" s="14" t="s">
        <v>1282</v>
      </c>
    </row>
    <row r="99" spans="1:16" x14ac:dyDescent="0.3">
      <c r="A99" s="8" t="s">
        <v>153</v>
      </c>
      <c r="B99" s="9" t="s">
        <v>240</v>
      </c>
      <c r="C99" s="10" t="s">
        <v>241</v>
      </c>
      <c r="D99" s="11">
        <v>43999</v>
      </c>
      <c r="E99" s="11">
        <v>44001</v>
      </c>
      <c r="F99" s="31">
        <v>206400000</v>
      </c>
      <c r="G99" s="32">
        <v>0</v>
      </c>
      <c r="H99" s="8" t="s">
        <v>242</v>
      </c>
      <c r="I99" s="12">
        <v>890209025</v>
      </c>
      <c r="J99" s="13" t="s">
        <v>1498</v>
      </c>
      <c r="K99" s="14">
        <v>12</v>
      </c>
      <c r="L99" s="15" t="s">
        <v>1281</v>
      </c>
      <c r="M99" s="16">
        <v>1900000</v>
      </c>
      <c r="N99" s="16">
        <v>0</v>
      </c>
      <c r="O99" s="16">
        <f t="shared" si="5"/>
        <v>22800000</v>
      </c>
      <c r="P99" s="14" t="s">
        <v>1282</v>
      </c>
    </row>
    <row r="100" spans="1:16" x14ac:dyDescent="0.3">
      <c r="A100" s="8" t="s">
        <v>153</v>
      </c>
      <c r="B100" s="9" t="s">
        <v>243</v>
      </c>
      <c r="C100" s="10" t="s">
        <v>244</v>
      </c>
      <c r="D100" s="11">
        <v>44020</v>
      </c>
      <c r="E100" s="11">
        <v>44020</v>
      </c>
      <c r="F100" s="31">
        <v>51086700</v>
      </c>
      <c r="G100" s="32">
        <v>0</v>
      </c>
      <c r="H100" s="8" t="s">
        <v>245</v>
      </c>
      <c r="I100" s="12">
        <v>900584757</v>
      </c>
      <c r="J100" s="13" t="s">
        <v>246</v>
      </c>
      <c r="K100" s="14">
        <v>135</v>
      </c>
      <c r="L100" s="15" t="s">
        <v>250</v>
      </c>
      <c r="M100" s="16">
        <v>318000</v>
      </c>
      <c r="N100" s="16">
        <f>M100*0.19</f>
        <v>60420</v>
      </c>
      <c r="O100" s="16">
        <f t="shared" si="5"/>
        <v>51086700</v>
      </c>
      <c r="P100" s="14" t="s">
        <v>162</v>
      </c>
    </row>
    <row r="101" spans="1:16" x14ac:dyDescent="0.3">
      <c r="A101" s="8" t="s">
        <v>153</v>
      </c>
      <c r="B101" s="9" t="s">
        <v>247</v>
      </c>
      <c r="C101" s="10" t="s">
        <v>1216</v>
      </c>
      <c r="D101" s="11">
        <v>44041</v>
      </c>
      <c r="E101" s="11">
        <v>44041</v>
      </c>
      <c r="F101" s="31">
        <v>1341920</v>
      </c>
      <c r="G101" s="32">
        <v>0</v>
      </c>
      <c r="H101" s="8" t="s">
        <v>230</v>
      </c>
      <c r="I101" s="12">
        <v>860062147</v>
      </c>
      <c r="J101" s="13" t="s">
        <v>231</v>
      </c>
      <c r="K101" s="14">
        <v>388</v>
      </c>
      <c r="L101" s="15" t="s">
        <v>250</v>
      </c>
      <c r="M101" s="16">
        <v>2840</v>
      </c>
      <c r="N101" s="16">
        <v>0</v>
      </c>
      <c r="O101" s="16">
        <f t="shared" si="5"/>
        <v>1101920</v>
      </c>
      <c r="P101" s="14" t="s">
        <v>232</v>
      </c>
    </row>
    <row r="102" spans="1:16" x14ac:dyDescent="0.3">
      <c r="A102" s="8" t="s">
        <v>153</v>
      </c>
      <c r="B102" s="9" t="s">
        <v>248</v>
      </c>
      <c r="C102" s="10" t="s">
        <v>1217</v>
      </c>
      <c r="D102" s="11">
        <v>44041</v>
      </c>
      <c r="E102" s="11">
        <v>44041</v>
      </c>
      <c r="F102" s="31">
        <v>49100000</v>
      </c>
      <c r="G102" s="32">
        <v>0</v>
      </c>
      <c r="H102" s="8" t="s">
        <v>249</v>
      </c>
      <c r="I102" s="12">
        <v>900567130</v>
      </c>
      <c r="J102" s="13" t="s">
        <v>59</v>
      </c>
      <c r="K102" s="14">
        <f>1080</f>
        <v>1080</v>
      </c>
      <c r="L102" s="15" t="s">
        <v>531</v>
      </c>
      <c r="M102" s="16">
        <f>45000</f>
        <v>45000</v>
      </c>
      <c r="N102" s="16">
        <v>0</v>
      </c>
      <c r="O102" s="16">
        <f t="shared" si="5"/>
        <v>48600000</v>
      </c>
      <c r="P102" s="14" t="s">
        <v>59</v>
      </c>
    </row>
    <row r="103" spans="1:16" x14ac:dyDescent="0.3">
      <c r="A103" s="8" t="s">
        <v>252</v>
      </c>
      <c r="B103" s="9" t="s">
        <v>253</v>
      </c>
      <c r="C103" s="10" t="s">
        <v>254</v>
      </c>
      <c r="D103" s="11">
        <v>43900</v>
      </c>
      <c r="E103" s="11">
        <v>43900</v>
      </c>
      <c r="F103" s="31">
        <v>48156480</v>
      </c>
      <c r="G103" s="32">
        <v>0</v>
      </c>
      <c r="H103" s="8" t="s">
        <v>255</v>
      </c>
      <c r="I103" s="12">
        <v>830037946</v>
      </c>
      <c r="J103" s="13" t="s">
        <v>256</v>
      </c>
      <c r="K103" s="14">
        <v>1920</v>
      </c>
      <c r="L103" s="15" t="s">
        <v>1369</v>
      </c>
      <c r="M103" s="16">
        <v>18281</v>
      </c>
      <c r="N103" s="16">
        <v>3439</v>
      </c>
      <c r="O103" s="16">
        <f t="shared" si="5"/>
        <v>41702400</v>
      </c>
      <c r="P103" s="14" t="s">
        <v>94</v>
      </c>
    </row>
    <row r="104" spans="1:16" x14ac:dyDescent="0.3">
      <c r="A104" s="8" t="s">
        <v>252</v>
      </c>
      <c r="B104" s="9" t="s">
        <v>253</v>
      </c>
      <c r="C104" s="10" t="s">
        <v>254</v>
      </c>
      <c r="D104" s="11">
        <v>43900</v>
      </c>
      <c r="E104" s="11">
        <v>43900</v>
      </c>
      <c r="F104" s="31">
        <v>48156480</v>
      </c>
      <c r="G104" s="32">
        <v>0</v>
      </c>
      <c r="H104" s="8" t="s">
        <v>255</v>
      </c>
      <c r="I104" s="12">
        <v>830037946</v>
      </c>
      <c r="J104" s="13" t="s">
        <v>1477</v>
      </c>
      <c r="K104" s="14">
        <v>1944</v>
      </c>
      <c r="L104" s="15" t="s">
        <v>172</v>
      </c>
      <c r="M104" s="16">
        <v>2794</v>
      </c>
      <c r="N104" s="16">
        <v>526</v>
      </c>
      <c r="O104" s="16">
        <f t="shared" si="5"/>
        <v>6454080</v>
      </c>
      <c r="P104" s="14" t="s">
        <v>36</v>
      </c>
    </row>
    <row r="105" spans="1:16" x14ac:dyDescent="0.3">
      <c r="A105" s="8" t="s">
        <v>252</v>
      </c>
      <c r="B105" s="9" t="s">
        <v>257</v>
      </c>
      <c r="C105" s="10" t="s">
        <v>258</v>
      </c>
      <c r="D105" s="11">
        <v>43916</v>
      </c>
      <c r="E105" s="11">
        <v>43917</v>
      </c>
      <c r="F105" s="31">
        <v>21397390</v>
      </c>
      <c r="G105" s="32">
        <v>0</v>
      </c>
      <c r="H105" s="8" t="s">
        <v>259</v>
      </c>
      <c r="I105" s="12">
        <v>901165706</v>
      </c>
      <c r="J105" s="13" t="s">
        <v>260</v>
      </c>
      <c r="K105" s="14">
        <v>100</v>
      </c>
      <c r="L105" s="15" t="s">
        <v>250</v>
      </c>
      <c r="M105" s="16">
        <v>13500</v>
      </c>
      <c r="N105" s="16">
        <v>2565</v>
      </c>
      <c r="O105" s="16">
        <f t="shared" si="5"/>
        <v>1606500</v>
      </c>
      <c r="P105" s="14" t="s">
        <v>261</v>
      </c>
    </row>
    <row r="106" spans="1:16" x14ac:dyDescent="0.3">
      <c r="A106" s="8" t="s">
        <v>252</v>
      </c>
      <c r="B106" s="9" t="s">
        <v>257</v>
      </c>
      <c r="C106" s="10" t="s">
        <v>258</v>
      </c>
      <c r="D106" s="11">
        <v>43916</v>
      </c>
      <c r="E106" s="11">
        <v>43917</v>
      </c>
      <c r="F106" s="31">
        <v>21397390</v>
      </c>
      <c r="G106" s="32">
        <v>0</v>
      </c>
      <c r="H106" s="8" t="s">
        <v>259</v>
      </c>
      <c r="I106" s="12">
        <v>901165706</v>
      </c>
      <c r="J106" s="13" t="s">
        <v>262</v>
      </c>
      <c r="K106" s="14">
        <f>99.08*100</f>
        <v>9908</v>
      </c>
      <c r="L106" s="15" t="s">
        <v>250</v>
      </c>
      <c r="M106" s="16">
        <f>75000/100</f>
        <v>750</v>
      </c>
      <c r="N106" s="16">
        <v>14250</v>
      </c>
      <c r="O106" s="16">
        <f t="shared" si="5"/>
        <v>148620000</v>
      </c>
      <c r="P106" s="14" t="s">
        <v>95</v>
      </c>
    </row>
    <row r="107" spans="1:16" x14ac:dyDescent="0.3">
      <c r="A107" s="8" t="s">
        <v>252</v>
      </c>
      <c r="B107" s="9" t="s">
        <v>257</v>
      </c>
      <c r="C107" s="10" t="s">
        <v>258</v>
      </c>
      <c r="D107" s="11">
        <v>43916</v>
      </c>
      <c r="E107" s="11">
        <v>43917</v>
      </c>
      <c r="F107" s="31">
        <v>21397390</v>
      </c>
      <c r="G107" s="32">
        <v>0</v>
      </c>
      <c r="H107" s="8" t="s">
        <v>259</v>
      </c>
      <c r="I107" s="12">
        <v>901165706</v>
      </c>
      <c r="J107" s="13" t="s">
        <v>263</v>
      </c>
      <c r="K107" s="14">
        <v>40</v>
      </c>
      <c r="L107" s="15" t="s">
        <v>531</v>
      </c>
      <c r="M107" s="16">
        <v>100000</v>
      </c>
      <c r="N107" s="16">
        <v>19000</v>
      </c>
      <c r="O107" s="16">
        <f t="shared" si="5"/>
        <v>4760000</v>
      </c>
      <c r="P107" s="14" t="s">
        <v>59</v>
      </c>
    </row>
    <row r="108" spans="1:16" x14ac:dyDescent="0.3">
      <c r="A108" s="8" t="s">
        <v>252</v>
      </c>
      <c r="B108" s="9" t="s">
        <v>257</v>
      </c>
      <c r="C108" s="10" t="s">
        <v>258</v>
      </c>
      <c r="D108" s="11">
        <v>43916</v>
      </c>
      <c r="E108" s="11">
        <v>43917</v>
      </c>
      <c r="F108" s="31">
        <v>21397390</v>
      </c>
      <c r="G108" s="32">
        <v>0</v>
      </c>
      <c r="H108" s="8" t="s">
        <v>259</v>
      </c>
      <c r="I108" s="12">
        <v>901165706</v>
      </c>
      <c r="J108" s="13" t="s">
        <v>33</v>
      </c>
      <c r="K108" s="24">
        <v>50</v>
      </c>
      <c r="L108" s="15" t="s">
        <v>172</v>
      </c>
      <c r="M108" s="16">
        <v>30000</v>
      </c>
      <c r="N108" s="16">
        <v>5700</v>
      </c>
      <c r="O108" s="16">
        <f t="shared" si="5"/>
        <v>1785000</v>
      </c>
      <c r="P108" s="14" t="s">
        <v>34</v>
      </c>
    </row>
    <row r="109" spans="1:16" x14ac:dyDescent="0.3">
      <c r="A109" s="8" t="s">
        <v>252</v>
      </c>
      <c r="B109" s="9" t="s">
        <v>257</v>
      </c>
      <c r="C109" s="10" t="s">
        <v>264</v>
      </c>
      <c r="D109" s="11">
        <v>43916</v>
      </c>
      <c r="E109" s="11">
        <v>43917</v>
      </c>
      <c r="F109" s="31">
        <v>21397390</v>
      </c>
      <c r="G109" s="32">
        <v>0</v>
      </c>
      <c r="H109" s="8" t="s">
        <v>259</v>
      </c>
      <c r="I109" s="12">
        <v>901165706</v>
      </c>
      <c r="J109" s="13" t="s">
        <v>265</v>
      </c>
      <c r="K109" s="14">
        <v>100</v>
      </c>
      <c r="L109" s="15" t="s">
        <v>250</v>
      </c>
      <c r="M109" s="16">
        <v>37000</v>
      </c>
      <c r="N109" s="16">
        <v>7030</v>
      </c>
      <c r="O109" s="16">
        <f t="shared" si="5"/>
        <v>4403000</v>
      </c>
      <c r="P109" s="14" t="s">
        <v>21</v>
      </c>
    </row>
    <row r="110" spans="1:16" x14ac:dyDescent="0.3">
      <c r="A110" s="8" t="s">
        <v>252</v>
      </c>
      <c r="B110" s="9" t="s">
        <v>266</v>
      </c>
      <c r="C110" s="10" t="s">
        <v>267</v>
      </c>
      <c r="D110" s="11">
        <v>43958</v>
      </c>
      <c r="E110" s="11">
        <v>43958</v>
      </c>
      <c r="F110" s="31">
        <v>11615000</v>
      </c>
      <c r="G110" s="32">
        <v>0</v>
      </c>
      <c r="H110" s="8" t="s">
        <v>268</v>
      </c>
      <c r="I110" s="12">
        <v>900017447</v>
      </c>
      <c r="J110" s="13" t="s">
        <v>269</v>
      </c>
      <c r="K110" s="14">
        <v>20</v>
      </c>
      <c r="L110" s="15" t="s">
        <v>250</v>
      </c>
      <c r="M110" s="16">
        <v>580750</v>
      </c>
      <c r="N110" s="16">
        <v>0</v>
      </c>
      <c r="O110" s="16">
        <f t="shared" si="5"/>
        <v>11615000</v>
      </c>
      <c r="P110" s="14" t="s">
        <v>136</v>
      </c>
    </row>
    <row r="111" spans="1:16" x14ac:dyDescent="0.3">
      <c r="A111" s="8" t="s">
        <v>252</v>
      </c>
      <c r="B111" s="9" t="s">
        <v>270</v>
      </c>
      <c r="C111" s="10" t="s">
        <v>271</v>
      </c>
      <c r="D111" s="11">
        <v>43962</v>
      </c>
      <c r="E111" s="11">
        <v>43962</v>
      </c>
      <c r="F111" s="31">
        <v>32520000</v>
      </c>
      <c r="G111" s="32">
        <v>0</v>
      </c>
      <c r="H111" s="8" t="s">
        <v>249</v>
      </c>
      <c r="I111" s="12">
        <v>900567130</v>
      </c>
      <c r="J111" s="13" t="s">
        <v>272</v>
      </c>
      <c r="K111" s="24">
        <v>2168</v>
      </c>
      <c r="L111" s="15" t="s">
        <v>172</v>
      </c>
      <c r="M111" s="16">
        <v>15000</v>
      </c>
      <c r="N111" s="16">
        <v>0</v>
      </c>
      <c r="O111" s="16">
        <f t="shared" si="5"/>
        <v>32520000</v>
      </c>
      <c r="P111" s="14" t="s">
        <v>96</v>
      </c>
    </row>
    <row r="112" spans="1:16" x14ac:dyDescent="0.3">
      <c r="A112" s="8" t="s">
        <v>252</v>
      </c>
      <c r="B112" s="9" t="s">
        <v>273</v>
      </c>
      <c r="C112" s="10" t="s">
        <v>274</v>
      </c>
      <c r="D112" s="11">
        <v>43969</v>
      </c>
      <c r="E112" s="11">
        <v>43969</v>
      </c>
      <c r="F112" s="31">
        <v>1719600</v>
      </c>
      <c r="G112" s="32">
        <v>1719600</v>
      </c>
      <c r="H112" s="8" t="s">
        <v>54</v>
      </c>
      <c r="I112" s="12">
        <v>890900943</v>
      </c>
      <c r="J112" s="13" t="s">
        <v>275</v>
      </c>
      <c r="K112" s="14">
        <v>600</v>
      </c>
      <c r="L112" s="15" t="s">
        <v>250</v>
      </c>
      <c r="M112" s="16">
        <v>5732</v>
      </c>
      <c r="N112" s="16">
        <v>0</v>
      </c>
      <c r="O112" s="16">
        <f t="shared" si="5"/>
        <v>3439200</v>
      </c>
      <c r="P112" s="14" t="s">
        <v>232</v>
      </c>
    </row>
    <row r="113" spans="1:16" x14ac:dyDescent="0.3">
      <c r="A113" s="8" t="s">
        <v>252</v>
      </c>
      <c r="B113" s="9" t="s">
        <v>276</v>
      </c>
      <c r="C113" s="10" t="s">
        <v>277</v>
      </c>
      <c r="D113" s="11">
        <v>43969</v>
      </c>
      <c r="E113" s="11">
        <v>43969</v>
      </c>
      <c r="F113" s="31">
        <v>15800400</v>
      </c>
      <c r="G113" s="32">
        <v>0</v>
      </c>
      <c r="H113" s="8" t="s">
        <v>249</v>
      </c>
      <c r="I113" s="12">
        <v>900567130</v>
      </c>
      <c r="J113" s="13" t="s">
        <v>1478</v>
      </c>
      <c r="K113" s="22">
        <v>3032.00216</v>
      </c>
      <c r="L113" s="15" t="s">
        <v>172</v>
      </c>
      <c r="M113" s="16">
        <v>5211.21</v>
      </c>
      <c r="N113" s="16">
        <v>0</v>
      </c>
      <c r="O113" s="16">
        <f t="shared" si="5"/>
        <v>15800399.9762136</v>
      </c>
      <c r="P113" s="14" t="s">
        <v>36</v>
      </c>
    </row>
    <row r="114" spans="1:16" x14ac:dyDescent="0.3">
      <c r="A114" s="8" t="s">
        <v>252</v>
      </c>
      <c r="B114" s="9" t="s">
        <v>278</v>
      </c>
      <c r="C114" s="10" t="s">
        <v>279</v>
      </c>
      <c r="D114" s="11">
        <v>43970</v>
      </c>
      <c r="E114" s="11">
        <v>43972</v>
      </c>
      <c r="F114" s="31">
        <v>87000000</v>
      </c>
      <c r="G114" s="32">
        <v>0</v>
      </c>
      <c r="H114" s="8" t="s">
        <v>280</v>
      </c>
      <c r="I114" s="12">
        <v>805026532</v>
      </c>
      <c r="J114" s="13" t="s">
        <v>1412</v>
      </c>
      <c r="K114" s="14">
        <f>1160*50</f>
        <v>58000</v>
      </c>
      <c r="L114" s="15" t="s">
        <v>250</v>
      </c>
      <c r="M114" s="16">
        <f>75000/50</f>
        <v>1500</v>
      </c>
      <c r="N114" s="16">
        <v>0</v>
      </c>
      <c r="O114" s="16">
        <f t="shared" si="5"/>
        <v>87000000</v>
      </c>
      <c r="P114" s="14" t="s">
        <v>95</v>
      </c>
    </row>
    <row r="115" spans="1:16" x14ac:dyDescent="0.3">
      <c r="A115" s="8" t="s">
        <v>252</v>
      </c>
      <c r="B115" s="9" t="s">
        <v>281</v>
      </c>
      <c r="C115" s="10" t="s">
        <v>282</v>
      </c>
      <c r="D115" s="11">
        <v>43972</v>
      </c>
      <c r="E115" s="11">
        <v>43972</v>
      </c>
      <c r="F115" s="31">
        <v>2520000</v>
      </c>
      <c r="G115" s="32">
        <v>0</v>
      </c>
      <c r="H115" s="8" t="s">
        <v>255</v>
      </c>
      <c r="I115" s="12">
        <v>830037946</v>
      </c>
      <c r="J115" s="13" t="s">
        <v>283</v>
      </c>
      <c r="K115" s="14">
        <v>1500</v>
      </c>
      <c r="L115" s="15" t="s">
        <v>250</v>
      </c>
      <c r="M115" s="16">
        <v>1414</v>
      </c>
      <c r="N115" s="16">
        <v>266</v>
      </c>
      <c r="O115" s="16">
        <f t="shared" si="5"/>
        <v>2520000</v>
      </c>
      <c r="P115" s="14" t="s">
        <v>182</v>
      </c>
    </row>
    <row r="116" spans="1:16" x14ac:dyDescent="0.3">
      <c r="A116" s="8" t="s">
        <v>252</v>
      </c>
      <c r="B116" s="9" t="s">
        <v>284</v>
      </c>
      <c r="C116" s="10" t="s">
        <v>285</v>
      </c>
      <c r="D116" s="11">
        <v>43973</v>
      </c>
      <c r="E116" s="11">
        <v>43973</v>
      </c>
      <c r="F116" s="31">
        <v>27600000</v>
      </c>
      <c r="G116" s="32">
        <v>0</v>
      </c>
      <c r="H116" s="8" t="s">
        <v>249</v>
      </c>
      <c r="I116" s="12">
        <v>900567130</v>
      </c>
      <c r="J116" s="13" t="s">
        <v>1463</v>
      </c>
      <c r="K116" s="24">
        <v>3000</v>
      </c>
      <c r="L116" s="15" t="s">
        <v>172</v>
      </c>
      <c r="M116" s="16">
        <v>9200</v>
      </c>
      <c r="N116" s="16">
        <v>0</v>
      </c>
      <c r="O116" s="16">
        <f t="shared" si="5"/>
        <v>27600000</v>
      </c>
      <c r="P116" s="14" t="s">
        <v>96</v>
      </c>
    </row>
    <row r="117" spans="1:16" x14ac:dyDescent="0.3">
      <c r="A117" s="8" t="s">
        <v>252</v>
      </c>
      <c r="B117" s="9" t="s">
        <v>286</v>
      </c>
      <c r="C117" s="10" t="s">
        <v>287</v>
      </c>
      <c r="D117" s="11">
        <v>43977</v>
      </c>
      <c r="E117" s="11">
        <v>43977</v>
      </c>
      <c r="F117" s="31">
        <v>124500180</v>
      </c>
      <c r="G117" s="32">
        <v>60547200</v>
      </c>
      <c r="H117" s="8" t="s">
        <v>288</v>
      </c>
      <c r="I117" s="12">
        <v>900584757</v>
      </c>
      <c r="J117" s="13" t="s">
        <v>289</v>
      </c>
      <c r="K117" s="14">
        <v>489</v>
      </c>
      <c r="L117" s="15" t="s">
        <v>250</v>
      </c>
      <c r="M117" s="16">
        <v>318000</v>
      </c>
      <c r="N117" s="16">
        <v>60420</v>
      </c>
      <c r="O117" s="16">
        <f t="shared" si="5"/>
        <v>185047380</v>
      </c>
      <c r="P117" s="14" t="s">
        <v>162</v>
      </c>
    </row>
    <row r="118" spans="1:16" x14ac:dyDescent="0.3">
      <c r="A118" s="8" t="s">
        <v>252</v>
      </c>
      <c r="B118" s="9" t="s">
        <v>290</v>
      </c>
      <c r="C118" s="10" t="s">
        <v>291</v>
      </c>
      <c r="D118" s="11">
        <v>43977</v>
      </c>
      <c r="E118" s="11">
        <v>43977</v>
      </c>
      <c r="F118" s="31">
        <v>64557207</v>
      </c>
      <c r="G118" s="32">
        <v>7566432</v>
      </c>
      <c r="H118" s="8" t="s">
        <v>51</v>
      </c>
      <c r="I118" s="12">
        <v>830001381</v>
      </c>
      <c r="J118" s="13" t="s">
        <v>292</v>
      </c>
      <c r="K118" s="14">
        <v>5586</v>
      </c>
      <c r="L118" s="15" t="s">
        <v>1369</v>
      </c>
      <c r="M118" s="16">
        <v>10850</v>
      </c>
      <c r="N118" s="16">
        <v>2061.5</v>
      </c>
      <c r="O118" s="16">
        <f t="shared" si="5"/>
        <v>72123639</v>
      </c>
      <c r="P118" s="14" t="s">
        <v>94</v>
      </c>
    </row>
    <row r="119" spans="1:16" x14ac:dyDescent="0.3">
      <c r="A119" s="8" t="s">
        <v>252</v>
      </c>
      <c r="B119" s="9" t="s">
        <v>293</v>
      </c>
      <c r="C119" s="10" t="s">
        <v>294</v>
      </c>
      <c r="D119" s="11">
        <v>43990</v>
      </c>
      <c r="E119" s="11">
        <v>43991</v>
      </c>
      <c r="F119" s="31">
        <v>9282000</v>
      </c>
      <c r="G119" s="32">
        <v>0</v>
      </c>
      <c r="H119" s="8" t="s">
        <v>295</v>
      </c>
      <c r="I119" s="12">
        <v>900372268</v>
      </c>
      <c r="J119" s="13" t="s">
        <v>296</v>
      </c>
      <c r="K119" s="14">
        <v>13</v>
      </c>
      <c r="L119" s="15" t="s">
        <v>250</v>
      </c>
      <c r="M119" s="16">
        <v>600000</v>
      </c>
      <c r="N119" s="16">
        <f>M119*0.19</f>
        <v>114000</v>
      </c>
      <c r="O119" s="16">
        <f t="shared" si="5"/>
        <v>9282000</v>
      </c>
      <c r="P119" s="14" t="s">
        <v>1274</v>
      </c>
    </row>
    <row r="120" spans="1:16" x14ac:dyDescent="0.3">
      <c r="A120" s="8" t="s">
        <v>252</v>
      </c>
      <c r="B120" s="9" t="s">
        <v>119</v>
      </c>
      <c r="C120" s="10" t="s">
        <v>297</v>
      </c>
      <c r="D120" s="11">
        <v>43990</v>
      </c>
      <c r="E120" s="11">
        <v>43991</v>
      </c>
      <c r="F120" s="31">
        <v>87724140</v>
      </c>
      <c r="G120" s="32">
        <v>87708173</v>
      </c>
      <c r="H120" s="8" t="s">
        <v>298</v>
      </c>
      <c r="I120" s="12">
        <v>800078360</v>
      </c>
      <c r="J120" s="13" t="s">
        <v>299</v>
      </c>
      <c r="K120" s="14">
        <v>2569</v>
      </c>
      <c r="L120" s="15" t="s">
        <v>531</v>
      </c>
      <c r="M120" s="16">
        <v>63077</v>
      </c>
      <c r="N120" s="16">
        <v>0</v>
      </c>
      <c r="O120" s="16">
        <f t="shared" si="5"/>
        <v>162044813</v>
      </c>
      <c r="P120" s="14" t="s">
        <v>59</v>
      </c>
    </row>
    <row r="121" spans="1:16" x14ac:dyDescent="0.3">
      <c r="A121" s="8" t="s">
        <v>252</v>
      </c>
      <c r="B121" s="9" t="s">
        <v>119</v>
      </c>
      <c r="C121" s="10" t="s">
        <v>297</v>
      </c>
      <c r="D121" s="11">
        <v>43990</v>
      </c>
      <c r="E121" s="11">
        <v>43991</v>
      </c>
      <c r="F121" s="31">
        <v>87724140</v>
      </c>
      <c r="G121" s="32">
        <v>87708173</v>
      </c>
      <c r="H121" s="8" t="s">
        <v>298</v>
      </c>
      <c r="I121" s="12">
        <v>800078360</v>
      </c>
      <c r="J121" s="13" t="s">
        <v>196</v>
      </c>
      <c r="K121" s="14">
        <v>75</v>
      </c>
      <c r="L121" s="15" t="s">
        <v>250</v>
      </c>
      <c r="M121" s="16">
        <v>150000</v>
      </c>
      <c r="N121" s="16">
        <f>M121*0.19</f>
        <v>28500</v>
      </c>
      <c r="O121" s="16">
        <f t="shared" si="5"/>
        <v>13387500</v>
      </c>
      <c r="P121" s="14" t="s">
        <v>196</v>
      </c>
    </row>
    <row r="122" spans="1:16" x14ac:dyDescent="0.3">
      <c r="A122" s="8" t="s">
        <v>252</v>
      </c>
      <c r="B122" s="9" t="s">
        <v>300</v>
      </c>
      <c r="C122" s="10" t="s">
        <v>301</v>
      </c>
      <c r="D122" s="11">
        <v>43999</v>
      </c>
      <c r="E122" s="11">
        <v>43999</v>
      </c>
      <c r="F122" s="31">
        <v>21212130</v>
      </c>
      <c r="G122" s="32">
        <v>0</v>
      </c>
      <c r="H122" s="8" t="s">
        <v>302</v>
      </c>
      <c r="I122" s="12">
        <v>890307682</v>
      </c>
      <c r="J122" s="13" t="s">
        <v>64</v>
      </c>
      <c r="K122" s="14">
        <v>3000</v>
      </c>
      <c r="L122" s="15" t="s">
        <v>250</v>
      </c>
      <c r="M122" s="16">
        <v>7070.71</v>
      </c>
      <c r="N122" s="16">
        <v>0</v>
      </c>
      <c r="O122" s="16">
        <f t="shared" si="5"/>
        <v>21212130</v>
      </c>
      <c r="P122" s="14" t="s">
        <v>232</v>
      </c>
    </row>
    <row r="123" spans="1:16" x14ac:dyDescent="0.3">
      <c r="A123" s="8" t="s">
        <v>252</v>
      </c>
      <c r="B123" s="9" t="s">
        <v>303</v>
      </c>
      <c r="C123" s="10" t="s">
        <v>304</v>
      </c>
      <c r="D123" s="11">
        <v>44006</v>
      </c>
      <c r="E123" s="11">
        <v>44012</v>
      </c>
      <c r="F123" s="31">
        <v>310500000</v>
      </c>
      <c r="G123" s="32">
        <v>0</v>
      </c>
      <c r="H123" s="8" t="s">
        <v>305</v>
      </c>
      <c r="I123" s="12">
        <v>900063271</v>
      </c>
      <c r="J123" s="13" t="s">
        <v>306</v>
      </c>
      <c r="K123" s="14">
        <v>23</v>
      </c>
      <c r="L123" s="15" t="s">
        <v>1281</v>
      </c>
      <c r="M123" s="16">
        <v>2250000</v>
      </c>
      <c r="N123" s="16">
        <v>0</v>
      </c>
      <c r="O123" s="16">
        <f>K123*(M123+N123)*6</f>
        <v>310500000</v>
      </c>
      <c r="P123" s="14" t="s">
        <v>1282</v>
      </c>
    </row>
    <row r="124" spans="1:16" x14ac:dyDescent="0.3">
      <c r="A124" s="8" t="s">
        <v>252</v>
      </c>
      <c r="B124" s="9" t="s">
        <v>307</v>
      </c>
      <c r="C124" s="10" t="s">
        <v>308</v>
      </c>
      <c r="D124" s="11">
        <v>44018</v>
      </c>
      <c r="E124" s="11">
        <v>44020</v>
      </c>
      <c r="F124" s="31">
        <v>13711200</v>
      </c>
      <c r="G124" s="32">
        <v>0</v>
      </c>
      <c r="H124" s="8" t="s">
        <v>309</v>
      </c>
      <c r="I124" s="12">
        <v>830501019</v>
      </c>
      <c r="J124" s="13" t="s">
        <v>310</v>
      </c>
      <c r="K124" s="14">
        <v>60</v>
      </c>
      <c r="L124" s="15" t="s">
        <v>250</v>
      </c>
      <c r="M124" s="16">
        <v>108000</v>
      </c>
      <c r="N124" s="16">
        <f>M124*0.19</f>
        <v>20520</v>
      </c>
      <c r="O124" s="16">
        <f t="shared" si="5"/>
        <v>7711200</v>
      </c>
      <c r="P124" s="14" t="s">
        <v>1383</v>
      </c>
    </row>
    <row r="125" spans="1:16" x14ac:dyDescent="0.3">
      <c r="A125" s="8" t="s">
        <v>252</v>
      </c>
      <c r="B125" s="9" t="s">
        <v>307</v>
      </c>
      <c r="C125" s="10" t="s">
        <v>308</v>
      </c>
      <c r="D125" s="11">
        <v>44018</v>
      </c>
      <c r="E125" s="11">
        <v>44020</v>
      </c>
      <c r="F125" s="31">
        <v>13711200</v>
      </c>
      <c r="G125" s="32">
        <v>0</v>
      </c>
      <c r="H125" s="8" t="s">
        <v>309</v>
      </c>
      <c r="I125" s="12">
        <v>830501019</v>
      </c>
      <c r="J125" s="13" t="s">
        <v>311</v>
      </c>
      <c r="K125" s="14">
        <v>50</v>
      </c>
      <c r="L125" s="15" t="s">
        <v>250</v>
      </c>
      <c r="M125" s="16">
        <v>120000</v>
      </c>
      <c r="N125" s="16">
        <v>0</v>
      </c>
      <c r="O125" s="16">
        <f t="shared" si="5"/>
        <v>6000000</v>
      </c>
      <c r="P125" s="14" t="s">
        <v>136</v>
      </c>
    </row>
    <row r="126" spans="1:16" x14ac:dyDescent="0.3">
      <c r="A126" s="8" t="s">
        <v>252</v>
      </c>
      <c r="B126" s="9" t="s">
        <v>312</v>
      </c>
      <c r="C126" s="10" t="s">
        <v>313</v>
      </c>
      <c r="D126" s="11">
        <v>44022</v>
      </c>
      <c r="E126" s="11">
        <v>44025</v>
      </c>
      <c r="F126" s="31">
        <v>24990000</v>
      </c>
      <c r="G126" s="32">
        <v>0</v>
      </c>
      <c r="H126" s="8" t="s">
        <v>298</v>
      </c>
      <c r="I126" s="12">
        <v>800078360</v>
      </c>
      <c r="J126" s="13" t="s">
        <v>314</v>
      </c>
      <c r="K126" s="14">
        <v>600</v>
      </c>
      <c r="L126" s="15" t="s">
        <v>250</v>
      </c>
      <c r="M126" s="16">
        <v>35000</v>
      </c>
      <c r="N126" s="16">
        <f>M126*0.19</f>
        <v>6650</v>
      </c>
      <c r="O126" s="16">
        <f t="shared" si="5"/>
        <v>24990000</v>
      </c>
      <c r="P126" s="14" t="s">
        <v>315</v>
      </c>
    </row>
    <row r="127" spans="1:16" x14ac:dyDescent="0.3">
      <c r="A127" s="8" t="s">
        <v>252</v>
      </c>
      <c r="B127" s="9" t="s">
        <v>316</v>
      </c>
      <c r="C127" s="10" t="s">
        <v>317</v>
      </c>
      <c r="D127" s="11">
        <v>44042</v>
      </c>
      <c r="E127" s="11">
        <v>44047</v>
      </c>
      <c r="F127" s="31">
        <v>92268536.230000004</v>
      </c>
      <c r="G127" s="32">
        <v>0</v>
      </c>
      <c r="H127" s="8" t="s">
        <v>318</v>
      </c>
      <c r="I127" s="12">
        <v>901171132</v>
      </c>
      <c r="J127" s="13" t="s">
        <v>319</v>
      </c>
      <c r="K127" s="14">
        <v>4350.34</v>
      </c>
      <c r="L127" s="15" t="s">
        <v>250</v>
      </c>
      <c r="M127" s="16">
        <v>21209.5</v>
      </c>
      <c r="N127" s="16">
        <v>0</v>
      </c>
      <c r="O127" s="16">
        <f t="shared" ref="O127:O190" si="6">K127*(M127+N127)</f>
        <v>92268536.230000004</v>
      </c>
      <c r="P127" s="14" t="s">
        <v>95</v>
      </c>
    </row>
    <row r="128" spans="1:16" x14ac:dyDescent="0.3">
      <c r="A128" s="8" t="s">
        <v>320</v>
      </c>
      <c r="B128" s="9" t="s">
        <v>321</v>
      </c>
      <c r="C128" s="10" t="s">
        <v>322</v>
      </c>
      <c r="D128" s="11">
        <v>43909</v>
      </c>
      <c r="E128" s="11">
        <v>43909</v>
      </c>
      <c r="F128" s="31">
        <v>14411127</v>
      </c>
      <c r="G128" s="32">
        <v>0</v>
      </c>
      <c r="H128" s="8" t="s">
        <v>19</v>
      </c>
      <c r="I128" s="12">
        <v>901095058</v>
      </c>
      <c r="J128" s="13" t="s">
        <v>1438</v>
      </c>
      <c r="K128" s="14">
        <f>665+150</f>
        <v>815</v>
      </c>
      <c r="L128" s="15" t="s">
        <v>250</v>
      </c>
      <c r="M128" s="16">
        <v>15309</v>
      </c>
      <c r="N128" s="16">
        <f>M128*0.19</f>
        <v>2908.71</v>
      </c>
      <c r="O128" s="16">
        <f>(665*(M128+N128))+(150*(M128))</f>
        <v>14411127.149999999</v>
      </c>
      <c r="P128" s="14" t="s">
        <v>21</v>
      </c>
    </row>
    <row r="129" spans="1:16" x14ac:dyDescent="0.3">
      <c r="A129" s="8" t="s">
        <v>320</v>
      </c>
      <c r="B129" s="9" t="s">
        <v>325</v>
      </c>
      <c r="C129" s="10" t="s">
        <v>326</v>
      </c>
      <c r="D129" s="11">
        <v>43915</v>
      </c>
      <c r="E129" s="11">
        <v>43915</v>
      </c>
      <c r="F129" s="31">
        <v>8399531</v>
      </c>
      <c r="G129" s="32">
        <v>0</v>
      </c>
      <c r="H129" s="8" t="s">
        <v>327</v>
      </c>
      <c r="I129" s="12">
        <v>1047451945</v>
      </c>
      <c r="J129" s="13" t="s">
        <v>33</v>
      </c>
      <c r="K129" s="24">
        <v>333.5</v>
      </c>
      <c r="L129" s="15" t="s">
        <v>172</v>
      </c>
      <c r="M129" s="16">
        <v>25186</v>
      </c>
      <c r="N129" s="16">
        <v>0</v>
      </c>
      <c r="O129" s="16">
        <f t="shared" si="6"/>
        <v>8399531</v>
      </c>
      <c r="P129" s="14" t="s">
        <v>34</v>
      </c>
    </row>
    <row r="130" spans="1:16" x14ac:dyDescent="0.3">
      <c r="A130" s="8" t="s">
        <v>320</v>
      </c>
      <c r="B130" s="9" t="s">
        <v>328</v>
      </c>
      <c r="C130" s="10" t="s">
        <v>329</v>
      </c>
      <c r="D130" s="11">
        <v>43964</v>
      </c>
      <c r="E130" s="11">
        <v>43965</v>
      </c>
      <c r="F130" s="31">
        <v>34734750</v>
      </c>
      <c r="G130" s="32">
        <v>0</v>
      </c>
      <c r="H130" s="8" t="s">
        <v>330</v>
      </c>
      <c r="I130" s="12">
        <v>1062185</v>
      </c>
      <c r="J130" s="13" t="s">
        <v>1410</v>
      </c>
      <c r="K130" s="14">
        <f>200*50</f>
        <v>10000</v>
      </c>
      <c r="L130" s="15" t="s">
        <v>250</v>
      </c>
      <c r="M130" s="16">
        <f>62500/50</f>
        <v>1250</v>
      </c>
      <c r="N130" s="16">
        <v>0</v>
      </c>
      <c r="O130" s="16">
        <f t="shared" si="6"/>
        <v>12500000</v>
      </c>
      <c r="P130" s="14" t="s">
        <v>95</v>
      </c>
    </row>
    <row r="131" spans="1:16" x14ac:dyDescent="0.3">
      <c r="A131" s="8" t="s">
        <v>320</v>
      </c>
      <c r="B131" s="9" t="s">
        <v>328</v>
      </c>
      <c r="C131" s="10" t="s">
        <v>329</v>
      </c>
      <c r="D131" s="11">
        <v>43964</v>
      </c>
      <c r="E131" s="11">
        <v>43965</v>
      </c>
      <c r="F131" s="31">
        <v>34734750</v>
      </c>
      <c r="G131" s="32">
        <v>0</v>
      </c>
      <c r="H131" s="8" t="s">
        <v>330</v>
      </c>
      <c r="I131" s="12">
        <v>1062185</v>
      </c>
      <c r="J131" s="13" t="s">
        <v>1411</v>
      </c>
      <c r="K131" s="14">
        <f>151*50</f>
        <v>7550</v>
      </c>
      <c r="L131" s="15" t="s">
        <v>250</v>
      </c>
      <c r="M131" s="16">
        <f>147250/50</f>
        <v>2945</v>
      </c>
      <c r="N131" s="16">
        <v>0</v>
      </c>
      <c r="O131" s="16">
        <f t="shared" si="6"/>
        <v>22234750</v>
      </c>
      <c r="P131" s="14" t="s">
        <v>95</v>
      </c>
    </row>
    <row r="132" spans="1:16" x14ac:dyDescent="0.3">
      <c r="A132" s="8" t="s">
        <v>320</v>
      </c>
      <c r="B132" s="9" t="s">
        <v>331</v>
      </c>
      <c r="C132" s="10" t="s">
        <v>332</v>
      </c>
      <c r="D132" s="11">
        <v>43966</v>
      </c>
      <c r="E132" s="11">
        <v>43969</v>
      </c>
      <c r="F132" s="31">
        <v>27782000</v>
      </c>
      <c r="G132" s="32">
        <v>0</v>
      </c>
      <c r="H132" s="8" t="s">
        <v>333</v>
      </c>
      <c r="I132" s="12">
        <v>900881350</v>
      </c>
      <c r="J132" s="13" t="s">
        <v>334</v>
      </c>
      <c r="K132" s="14">
        <v>11</v>
      </c>
      <c r="L132" s="15" t="s">
        <v>250</v>
      </c>
      <c r="M132" s="16">
        <v>430000</v>
      </c>
      <c r="N132" s="16">
        <v>0</v>
      </c>
      <c r="O132" s="16">
        <f t="shared" si="6"/>
        <v>4730000</v>
      </c>
      <c r="P132" s="14" t="s">
        <v>136</v>
      </c>
    </row>
    <row r="133" spans="1:16" x14ac:dyDescent="0.3">
      <c r="A133" s="8" t="s">
        <v>320</v>
      </c>
      <c r="B133" s="9" t="s">
        <v>331</v>
      </c>
      <c r="C133" s="10" t="s">
        <v>332</v>
      </c>
      <c r="D133" s="11">
        <v>43966</v>
      </c>
      <c r="E133" s="11">
        <v>43969</v>
      </c>
      <c r="F133" s="31">
        <v>27782000</v>
      </c>
      <c r="G133" s="32">
        <v>0</v>
      </c>
      <c r="H133" s="8" t="s">
        <v>333</v>
      </c>
      <c r="I133" s="12">
        <v>900881350</v>
      </c>
      <c r="J133" s="13" t="s">
        <v>335</v>
      </c>
      <c r="K133" s="14">
        <v>760</v>
      </c>
      <c r="L133" s="15" t="s">
        <v>1369</v>
      </c>
      <c r="M133" s="16">
        <v>21450</v>
      </c>
      <c r="N133" s="16">
        <v>0</v>
      </c>
      <c r="O133" s="16">
        <f t="shared" si="6"/>
        <v>16302000</v>
      </c>
      <c r="P133" s="14" t="s">
        <v>94</v>
      </c>
    </row>
    <row r="134" spans="1:16" x14ac:dyDescent="0.3">
      <c r="A134" s="8" t="s">
        <v>320</v>
      </c>
      <c r="B134" s="9" t="s">
        <v>331</v>
      </c>
      <c r="C134" s="10" t="s">
        <v>332</v>
      </c>
      <c r="D134" s="11">
        <v>43966</v>
      </c>
      <c r="E134" s="11">
        <v>43969</v>
      </c>
      <c r="F134" s="31">
        <v>27782000</v>
      </c>
      <c r="G134" s="32">
        <v>0</v>
      </c>
      <c r="H134" s="8" t="s">
        <v>333</v>
      </c>
      <c r="I134" s="12">
        <v>900881350</v>
      </c>
      <c r="J134" s="13" t="s">
        <v>1464</v>
      </c>
      <c r="K134" s="24">
        <v>1215.1199999999999</v>
      </c>
      <c r="L134" s="15" t="s">
        <v>172</v>
      </c>
      <c r="M134" s="16">
        <v>5555</v>
      </c>
      <c r="N134" s="16">
        <v>0</v>
      </c>
      <c r="O134" s="16">
        <f t="shared" si="6"/>
        <v>6749991.5999999996</v>
      </c>
      <c r="P134" s="14" t="s">
        <v>96</v>
      </c>
    </row>
    <row r="135" spans="1:16" x14ac:dyDescent="0.3">
      <c r="A135" s="8" t="s">
        <v>320</v>
      </c>
      <c r="B135" s="9" t="s">
        <v>336</v>
      </c>
      <c r="C135" s="10" t="s">
        <v>337</v>
      </c>
      <c r="D135" s="11">
        <v>43971</v>
      </c>
      <c r="E135" s="11">
        <v>43972</v>
      </c>
      <c r="F135" s="31">
        <v>14952000</v>
      </c>
      <c r="G135" s="32">
        <v>0</v>
      </c>
      <c r="H135" s="8" t="s">
        <v>333</v>
      </c>
      <c r="I135" s="12">
        <v>900881350</v>
      </c>
      <c r="J135" s="13" t="s">
        <v>338</v>
      </c>
      <c r="K135" s="14">
        <v>336</v>
      </c>
      <c r="L135" s="15" t="s">
        <v>531</v>
      </c>
      <c r="M135" s="16">
        <v>44500</v>
      </c>
      <c r="N135" s="16">
        <v>0</v>
      </c>
      <c r="O135" s="16">
        <f t="shared" si="6"/>
        <v>14952000</v>
      </c>
      <c r="P135" s="14" t="s">
        <v>59</v>
      </c>
    </row>
    <row r="136" spans="1:16" x14ac:dyDescent="0.3">
      <c r="A136" s="8" t="s">
        <v>320</v>
      </c>
      <c r="B136" s="9" t="s">
        <v>339</v>
      </c>
      <c r="C136" s="10" t="s">
        <v>340</v>
      </c>
      <c r="D136" s="11" t="s">
        <v>341</v>
      </c>
      <c r="E136" s="11" t="s">
        <v>341</v>
      </c>
      <c r="F136" s="31">
        <v>1560000</v>
      </c>
      <c r="G136" s="32">
        <v>0</v>
      </c>
      <c r="H136" s="8" t="s">
        <v>342</v>
      </c>
      <c r="I136" s="12">
        <v>900353659</v>
      </c>
      <c r="J136" s="13" t="s">
        <v>343</v>
      </c>
      <c r="K136" s="14">
        <v>63</v>
      </c>
      <c r="L136" s="15" t="s">
        <v>531</v>
      </c>
      <c r="M136" s="16">
        <v>20000</v>
      </c>
      <c r="N136" s="16">
        <v>0</v>
      </c>
      <c r="O136" s="16">
        <f t="shared" si="6"/>
        <v>1260000</v>
      </c>
      <c r="P136" s="14" t="s">
        <v>23</v>
      </c>
    </row>
    <row r="137" spans="1:16" x14ac:dyDescent="0.3">
      <c r="A137" s="8" t="s">
        <v>320</v>
      </c>
      <c r="B137" s="9" t="s">
        <v>344</v>
      </c>
      <c r="C137" s="10" t="s">
        <v>340</v>
      </c>
      <c r="D137" s="11" t="s">
        <v>341</v>
      </c>
      <c r="E137" s="11" t="s">
        <v>341</v>
      </c>
      <c r="F137" s="31">
        <v>17400156</v>
      </c>
      <c r="G137" s="32">
        <v>0</v>
      </c>
      <c r="H137" s="8" t="s">
        <v>227</v>
      </c>
      <c r="I137" s="12">
        <v>900704052</v>
      </c>
      <c r="J137" s="13" t="s">
        <v>345</v>
      </c>
      <c r="K137" s="24">
        <v>1434</v>
      </c>
      <c r="L137" s="15" t="s">
        <v>172</v>
      </c>
      <c r="M137" s="16">
        <v>11634</v>
      </c>
      <c r="N137" s="16">
        <v>0</v>
      </c>
      <c r="O137" s="16">
        <f t="shared" si="6"/>
        <v>16683156</v>
      </c>
      <c r="P137" s="14" t="s">
        <v>34</v>
      </c>
    </row>
    <row r="138" spans="1:16" x14ac:dyDescent="0.3">
      <c r="A138" s="8" t="s">
        <v>320</v>
      </c>
      <c r="B138" s="9" t="s">
        <v>346</v>
      </c>
      <c r="C138" s="10" t="s">
        <v>347</v>
      </c>
      <c r="D138" s="11">
        <v>43956</v>
      </c>
      <c r="E138" s="11">
        <v>43956</v>
      </c>
      <c r="F138" s="31">
        <v>52694400</v>
      </c>
      <c r="G138" s="32">
        <v>0</v>
      </c>
      <c r="H138" s="8" t="s">
        <v>348</v>
      </c>
      <c r="I138" s="12">
        <v>900935453</v>
      </c>
      <c r="J138" s="13" t="s">
        <v>43</v>
      </c>
      <c r="K138" s="14">
        <f>100*100</f>
        <v>10000</v>
      </c>
      <c r="L138" s="15" t="s">
        <v>250</v>
      </c>
      <c r="M138" s="16">
        <f>130000/100</f>
        <v>1300</v>
      </c>
      <c r="N138" s="16">
        <v>0</v>
      </c>
      <c r="O138" s="16">
        <f t="shared" si="6"/>
        <v>13000000</v>
      </c>
      <c r="P138" s="14" t="s">
        <v>95</v>
      </c>
    </row>
    <row r="139" spans="1:16" x14ac:dyDescent="0.3">
      <c r="A139" s="8" t="s">
        <v>320</v>
      </c>
      <c r="B139" s="9" t="s">
        <v>346</v>
      </c>
      <c r="C139" s="10" t="s">
        <v>347</v>
      </c>
      <c r="D139" s="11">
        <v>43956</v>
      </c>
      <c r="E139" s="11">
        <v>43956</v>
      </c>
      <c r="F139" s="31">
        <v>52694400</v>
      </c>
      <c r="G139" s="32">
        <v>0</v>
      </c>
      <c r="H139" s="8" t="s">
        <v>348</v>
      </c>
      <c r="I139" s="12">
        <v>900935453</v>
      </c>
      <c r="J139" s="13" t="s">
        <v>1413</v>
      </c>
      <c r="K139" s="14">
        <f>130*100</f>
        <v>13000</v>
      </c>
      <c r="L139" s="15" t="s">
        <v>250</v>
      </c>
      <c r="M139" s="16">
        <f>295000/100</f>
        <v>2950</v>
      </c>
      <c r="N139" s="16">
        <v>0</v>
      </c>
      <c r="O139" s="16">
        <f t="shared" si="6"/>
        <v>38350000</v>
      </c>
      <c r="P139" s="14" t="s">
        <v>95</v>
      </c>
    </row>
    <row r="140" spans="1:16" x14ac:dyDescent="0.3">
      <c r="A140" s="8" t="s">
        <v>320</v>
      </c>
      <c r="B140" s="9" t="s">
        <v>349</v>
      </c>
      <c r="C140" s="10" t="s">
        <v>350</v>
      </c>
      <c r="D140" s="11">
        <v>43956</v>
      </c>
      <c r="E140" s="11">
        <v>43956</v>
      </c>
      <c r="F140" s="31">
        <v>9600000</v>
      </c>
      <c r="G140" s="32">
        <v>0</v>
      </c>
      <c r="H140" s="8" t="s">
        <v>342</v>
      </c>
      <c r="I140" s="12">
        <v>900353659</v>
      </c>
      <c r="J140" s="13" t="s">
        <v>351</v>
      </c>
      <c r="K140" s="14">
        <v>200</v>
      </c>
      <c r="L140" s="15" t="s">
        <v>531</v>
      </c>
      <c r="M140" s="16">
        <v>45000</v>
      </c>
      <c r="N140" s="16">
        <v>0</v>
      </c>
      <c r="O140" s="16">
        <f t="shared" si="6"/>
        <v>9000000</v>
      </c>
      <c r="P140" s="14" t="s">
        <v>59</v>
      </c>
    </row>
    <row r="141" spans="1:16" x14ac:dyDescent="0.3">
      <c r="A141" s="8" t="s">
        <v>320</v>
      </c>
      <c r="B141" s="9" t="s">
        <v>352</v>
      </c>
      <c r="C141" s="10" t="s">
        <v>353</v>
      </c>
      <c r="D141" s="11">
        <v>43956</v>
      </c>
      <c r="E141" s="11">
        <v>43956</v>
      </c>
      <c r="F141" s="31">
        <v>3532000</v>
      </c>
      <c r="G141" s="32">
        <v>0</v>
      </c>
      <c r="H141" s="8" t="s">
        <v>354</v>
      </c>
      <c r="I141" s="12">
        <v>900791672</v>
      </c>
      <c r="J141" s="13" t="s">
        <v>1479</v>
      </c>
      <c r="K141" s="22">
        <v>484.5</v>
      </c>
      <c r="L141" s="15" t="s">
        <v>172</v>
      </c>
      <c r="M141" s="16">
        <v>5680</v>
      </c>
      <c r="N141" s="16">
        <v>0</v>
      </c>
      <c r="O141" s="16">
        <f t="shared" si="6"/>
        <v>2751960</v>
      </c>
      <c r="P141" s="14" t="s">
        <v>36</v>
      </c>
    </row>
    <row r="142" spans="1:16" x14ac:dyDescent="0.3">
      <c r="A142" s="8" t="s">
        <v>320</v>
      </c>
      <c r="B142" s="9" t="s">
        <v>355</v>
      </c>
      <c r="C142" s="10" t="s">
        <v>356</v>
      </c>
      <c r="D142" s="11">
        <v>43969</v>
      </c>
      <c r="E142" s="11">
        <v>43969</v>
      </c>
      <c r="F142" s="31">
        <v>2192694</v>
      </c>
      <c r="G142" s="32">
        <v>0</v>
      </c>
      <c r="H142" s="8" t="s">
        <v>357</v>
      </c>
      <c r="I142" s="12">
        <v>830037946</v>
      </c>
      <c r="J142" s="13" t="s">
        <v>358</v>
      </c>
      <c r="K142" s="14">
        <v>268</v>
      </c>
      <c r="L142" s="15" t="s">
        <v>250</v>
      </c>
      <c r="M142" s="16">
        <v>1500</v>
      </c>
      <c r="N142" s="16">
        <f>M142*0.19</f>
        <v>285</v>
      </c>
      <c r="O142" s="16">
        <f t="shared" si="6"/>
        <v>478380</v>
      </c>
      <c r="P142" s="14" t="s">
        <v>182</v>
      </c>
    </row>
    <row r="143" spans="1:16" x14ac:dyDescent="0.3">
      <c r="A143" s="8" t="s">
        <v>320</v>
      </c>
      <c r="B143" s="9" t="s">
        <v>355</v>
      </c>
      <c r="C143" s="10" t="s">
        <v>356</v>
      </c>
      <c r="D143" s="11">
        <v>43969</v>
      </c>
      <c r="E143" s="11">
        <v>43969</v>
      </c>
      <c r="F143" s="31">
        <v>2192694</v>
      </c>
      <c r="G143" s="32">
        <v>0</v>
      </c>
      <c r="H143" s="8" t="s">
        <v>357</v>
      </c>
      <c r="I143" s="12">
        <v>830037946</v>
      </c>
      <c r="J143" s="13" t="s">
        <v>359</v>
      </c>
      <c r="K143" s="14">
        <f>74/2</f>
        <v>37</v>
      </c>
      <c r="L143" s="15" t="s">
        <v>1246</v>
      </c>
      <c r="M143" s="16">
        <f>8400*2</f>
        <v>16800</v>
      </c>
      <c r="N143" s="16">
        <f>M143*0.19</f>
        <v>3192</v>
      </c>
      <c r="O143" s="16">
        <f t="shared" si="6"/>
        <v>739704</v>
      </c>
      <c r="P143" s="14" t="s">
        <v>1387</v>
      </c>
    </row>
    <row r="144" spans="1:16" x14ac:dyDescent="0.3">
      <c r="A144" s="8" t="s">
        <v>320</v>
      </c>
      <c r="B144" s="9" t="s">
        <v>355</v>
      </c>
      <c r="C144" s="10" t="s">
        <v>356</v>
      </c>
      <c r="D144" s="11">
        <v>43969</v>
      </c>
      <c r="E144" s="11">
        <v>43969</v>
      </c>
      <c r="F144" s="31">
        <v>2192694</v>
      </c>
      <c r="G144" s="32">
        <v>0</v>
      </c>
      <c r="H144" s="8" t="s">
        <v>357</v>
      </c>
      <c r="I144" s="12">
        <v>830037946</v>
      </c>
      <c r="J144" s="13" t="s">
        <v>361</v>
      </c>
      <c r="K144" s="14">
        <v>63</v>
      </c>
      <c r="L144" s="15" t="s">
        <v>1246</v>
      </c>
      <c r="M144" s="16">
        <v>13000</v>
      </c>
      <c r="N144" s="16">
        <f>M144*0.19</f>
        <v>2470</v>
      </c>
      <c r="O144" s="16">
        <f t="shared" si="6"/>
        <v>974610</v>
      </c>
      <c r="P144" s="14" t="s">
        <v>1387</v>
      </c>
    </row>
    <row r="145" spans="1:16" x14ac:dyDescent="0.3">
      <c r="A145" s="8" t="s">
        <v>320</v>
      </c>
      <c r="B145" s="9" t="s">
        <v>362</v>
      </c>
      <c r="C145" s="10" t="s">
        <v>363</v>
      </c>
      <c r="D145" s="11">
        <v>43983</v>
      </c>
      <c r="E145" s="11">
        <v>43983</v>
      </c>
      <c r="F145" s="31">
        <v>2672925</v>
      </c>
      <c r="G145" s="32">
        <v>0</v>
      </c>
      <c r="H145" s="8" t="s">
        <v>364</v>
      </c>
      <c r="I145" s="12">
        <v>890900943</v>
      </c>
      <c r="J145" s="13" t="s">
        <v>365</v>
      </c>
      <c r="K145" s="14">
        <v>471</v>
      </c>
      <c r="L145" s="15" t="s">
        <v>250</v>
      </c>
      <c r="M145" s="16">
        <v>5675</v>
      </c>
      <c r="N145" s="16">
        <v>0</v>
      </c>
      <c r="O145" s="16">
        <f t="shared" si="6"/>
        <v>2672925</v>
      </c>
      <c r="P145" s="14" t="s">
        <v>232</v>
      </c>
    </row>
    <row r="146" spans="1:16" x14ac:dyDescent="0.3">
      <c r="A146" s="8" t="s">
        <v>320</v>
      </c>
      <c r="B146" s="9" t="s">
        <v>366</v>
      </c>
      <c r="C146" s="10" t="s">
        <v>367</v>
      </c>
      <c r="D146" s="11">
        <v>43984</v>
      </c>
      <c r="E146" s="11">
        <v>43984</v>
      </c>
      <c r="F146" s="31">
        <v>2600000</v>
      </c>
      <c r="G146" s="32">
        <v>0</v>
      </c>
      <c r="H146" s="8" t="s">
        <v>368</v>
      </c>
      <c r="I146" s="12">
        <v>900155107</v>
      </c>
      <c r="J146" s="13" t="s">
        <v>369</v>
      </c>
      <c r="K146" s="14">
        <v>20</v>
      </c>
      <c r="L146" s="15" t="s">
        <v>250</v>
      </c>
      <c r="M146" s="16">
        <v>109244</v>
      </c>
      <c r="N146" s="16">
        <f>M146*0.19</f>
        <v>20756.36</v>
      </c>
      <c r="O146" s="16">
        <f t="shared" si="6"/>
        <v>2600007.2000000002</v>
      </c>
      <c r="P146" s="14" t="s">
        <v>1383</v>
      </c>
    </row>
    <row r="147" spans="1:16" x14ac:dyDescent="0.3">
      <c r="A147" s="8" t="s">
        <v>320</v>
      </c>
      <c r="B147" s="9" t="s">
        <v>370</v>
      </c>
      <c r="C147" s="10" t="s">
        <v>371</v>
      </c>
      <c r="D147" s="11">
        <v>43986</v>
      </c>
      <c r="E147" s="11">
        <v>43986</v>
      </c>
      <c r="F147" s="31">
        <v>11123450</v>
      </c>
      <c r="G147" s="32">
        <v>0</v>
      </c>
      <c r="H147" s="8" t="s">
        <v>372</v>
      </c>
      <c r="I147" s="12">
        <v>900342297</v>
      </c>
      <c r="J147" s="13" t="s">
        <v>1275</v>
      </c>
      <c r="K147" s="14">
        <v>7000</v>
      </c>
      <c r="L147" s="15" t="s">
        <v>250</v>
      </c>
      <c r="M147" s="16">
        <v>1580</v>
      </c>
      <c r="N147" s="16">
        <v>0</v>
      </c>
      <c r="O147" s="16">
        <f t="shared" si="6"/>
        <v>11060000</v>
      </c>
      <c r="P147" s="14" t="s">
        <v>95</v>
      </c>
    </row>
    <row r="148" spans="1:16" x14ac:dyDescent="0.3">
      <c r="A148" s="8" t="s">
        <v>320</v>
      </c>
      <c r="B148" s="9" t="s">
        <v>373</v>
      </c>
      <c r="C148" s="10" t="s">
        <v>374</v>
      </c>
      <c r="D148" s="11">
        <v>44005</v>
      </c>
      <c r="E148" s="11">
        <v>44005</v>
      </c>
      <c r="F148" s="31">
        <v>3778000</v>
      </c>
      <c r="G148" s="32">
        <v>0</v>
      </c>
      <c r="H148" s="8" t="s">
        <v>375</v>
      </c>
      <c r="I148" s="12">
        <v>890307682</v>
      </c>
      <c r="J148" s="13" t="s">
        <v>376</v>
      </c>
      <c r="K148" s="14">
        <v>529</v>
      </c>
      <c r="L148" s="15" t="s">
        <v>250</v>
      </c>
      <c r="M148" s="16">
        <v>7000</v>
      </c>
      <c r="N148" s="16">
        <v>0</v>
      </c>
      <c r="O148" s="16">
        <f t="shared" si="6"/>
        <v>3703000</v>
      </c>
      <c r="P148" s="14" t="s">
        <v>232</v>
      </c>
    </row>
    <row r="149" spans="1:16" x14ac:dyDescent="0.3">
      <c r="A149" s="8" t="s">
        <v>320</v>
      </c>
      <c r="B149" s="9" t="s">
        <v>377</v>
      </c>
      <c r="C149" s="10" t="s">
        <v>378</v>
      </c>
      <c r="D149" s="11">
        <v>44008</v>
      </c>
      <c r="E149" s="11">
        <v>44008</v>
      </c>
      <c r="F149" s="31">
        <v>2457000</v>
      </c>
      <c r="G149" s="32">
        <v>0</v>
      </c>
      <c r="H149" s="8" t="s">
        <v>379</v>
      </c>
      <c r="I149" s="12">
        <v>811008383</v>
      </c>
      <c r="J149" s="13" t="s">
        <v>34</v>
      </c>
      <c r="K149" s="24">
        <v>379.98</v>
      </c>
      <c r="L149" s="15" t="s">
        <v>172</v>
      </c>
      <c r="M149" s="16">
        <v>6466</v>
      </c>
      <c r="N149" s="16">
        <v>0</v>
      </c>
      <c r="O149" s="16">
        <f t="shared" si="6"/>
        <v>2456950.6800000002</v>
      </c>
      <c r="P149" s="14" t="s">
        <v>34</v>
      </c>
    </row>
    <row r="150" spans="1:16" x14ac:dyDescent="0.3">
      <c r="A150" s="8" t="s">
        <v>320</v>
      </c>
      <c r="B150" s="9" t="s">
        <v>380</v>
      </c>
      <c r="C150" s="10" t="s">
        <v>381</v>
      </c>
      <c r="D150" s="11">
        <v>44008</v>
      </c>
      <c r="E150" s="11">
        <v>44008</v>
      </c>
      <c r="F150" s="31">
        <v>1264500</v>
      </c>
      <c r="G150" s="32">
        <v>0</v>
      </c>
      <c r="H150" s="8" t="s">
        <v>74</v>
      </c>
      <c r="I150" s="12">
        <v>830037946</v>
      </c>
      <c r="J150" s="13" t="s">
        <v>382</v>
      </c>
      <c r="K150" s="14">
        <v>45</v>
      </c>
      <c r="L150" s="15" t="s">
        <v>250</v>
      </c>
      <c r="M150" s="16">
        <v>28100</v>
      </c>
      <c r="N150" s="16">
        <v>0</v>
      </c>
      <c r="O150" s="16">
        <f t="shared" si="6"/>
        <v>1264500</v>
      </c>
      <c r="P150" s="14" t="s">
        <v>383</v>
      </c>
    </row>
    <row r="151" spans="1:16" x14ac:dyDescent="0.3">
      <c r="A151" s="8" t="s">
        <v>320</v>
      </c>
      <c r="B151" s="9" t="s">
        <v>384</v>
      </c>
      <c r="C151" s="10" t="s">
        <v>1218</v>
      </c>
      <c r="D151" s="11">
        <v>44013</v>
      </c>
      <c r="E151" s="11">
        <v>44013</v>
      </c>
      <c r="F151" s="31">
        <v>14984700</v>
      </c>
      <c r="G151" s="32">
        <v>0</v>
      </c>
      <c r="H151" s="8" t="s">
        <v>200</v>
      </c>
      <c r="I151" s="12">
        <v>830037946</v>
      </c>
      <c r="J151" s="13" t="s">
        <v>385</v>
      </c>
      <c r="K151" s="14">
        <v>172</v>
      </c>
      <c r="L151" s="15" t="s">
        <v>250</v>
      </c>
      <c r="M151" s="16">
        <v>57400</v>
      </c>
      <c r="N151" s="16">
        <v>0</v>
      </c>
      <c r="O151" s="16">
        <f t="shared" si="6"/>
        <v>9872800</v>
      </c>
      <c r="P151" s="14" t="s">
        <v>383</v>
      </c>
    </row>
    <row r="152" spans="1:16" x14ac:dyDescent="0.3">
      <c r="A152" s="8" t="s">
        <v>320</v>
      </c>
      <c r="B152" s="9" t="s">
        <v>384</v>
      </c>
      <c r="C152" s="10" t="s">
        <v>1218</v>
      </c>
      <c r="D152" s="11">
        <v>44013</v>
      </c>
      <c r="E152" s="11">
        <v>44013</v>
      </c>
      <c r="F152" s="31">
        <v>14984700</v>
      </c>
      <c r="G152" s="32">
        <v>0</v>
      </c>
      <c r="H152" s="8" t="s">
        <v>200</v>
      </c>
      <c r="I152" s="12">
        <v>830037946</v>
      </c>
      <c r="J152" s="13" t="s">
        <v>386</v>
      </c>
      <c r="K152" s="14">
        <v>97</v>
      </c>
      <c r="L152" s="15" t="s">
        <v>250</v>
      </c>
      <c r="M152" s="16">
        <v>52700</v>
      </c>
      <c r="N152" s="16">
        <v>0</v>
      </c>
      <c r="O152" s="16">
        <f t="shared" si="6"/>
        <v>5111900</v>
      </c>
      <c r="P152" s="14" t="s">
        <v>383</v>
      </c>
    </row>
    <row r="153" spans="1:16" x14ac:dyDescent="0.3">
      <c r="A153" s="8" t="s">
        <v>1322</v>
      </c>
      <c r="B153" s="9" t="s">
        <v>1323</v>
      </c>
      <c r="C153" s="17" t="s">
        <v>1324</v>
      </c>
      <c r="D153" s="11">
        <v>43951</v>
      </c>
      <c r="E153" s="11">
        <v>43920</v>
      </c>
      <c r="F153" s="31">
        <v>27875000</v>
      </c>
      <c r="G153" s="32">
        <v>0</v>
      </c>
      <c r="H153" s="8" t="s">
        <v>1325</v>
      </c>
      <c r="I153" s="12">
        <v>152446212</v>
      </c>
      <c r="J153" s="13" t="s">
        <v>1414</v>
      </c>
      <c r="K153" s="14">
        <f>250*50</f>
        <v>12500</v>
      </c>
      <c r="L153" s="15" t="s">
        <v>250</v>
      </c>
      <c r="M153" s="16">
        <f>87500/50</f>
        <v>1750</v>
      </c>
      <c r="N153" s="16">
        <v>0</v>
      </c>
      <c r="O153" s="16">
        <f t="shared" si="6"/>
        <v>21875000</v>
      </c>
      <c r="P153" s="19" t="s">
        <v>95</v>
      </c>
    </row>
    <row r="154" spans="1:16" x14ac:dyDescent="0.3">
      <c r="A154" s="8" t="s">
        <v>1322</v>
      </c>
      <c r="B154" s="9" t="s">
        <v>1323</v>
      </c>
      <c r="C154" s="17" t="s">
        <v>1365</v>
      </c>
      <c r="D154" s="11">
        <v>43951</v>
      </c>
      <c r="E154" s="11">
        <v>43920</v>
      </c>
      <c r="F154" s="31">
        <v>27875000</v>
      </c>
      <c r="G154" s="32">
        <v>0</v>
      </c>
      <c r="H154" s="8" t="s">
        <v>1325</v>
      </c>
      <c r="I154" s="12">
        <v>152446212</v>
      </c>
      <c r="J154" s="13" t="s">
        <v>1326</v>
      </c>
      <c r="K154" s="14">
        <v>600</v>
      </c>
      <c r="L154" s="15" t="s">
        <v>250</v>
      </c>
      <c r="M154" s="16">
        <v>10000</v>
      </c>
      <c r="N154" s="16">
        <v>0</v>
      </c>
      <c r="O154" s="16">
        <f t="shared" si="6"/>
        <v>6000000</v>
      </c>
      <c r="P154" s="19" t="s">
        <v>95</v>
      </c>
    </row>
    <row r="155" spans="1:16" x14ac:dyDescent="0.3">
      <c r="A155" s="8" t="s">
        <v>1322</v>
      </c>
      <c r="B155" s="9" t="s">
        <v>1327</v>
      </c>
      <c r="C155" s="17" t="s">
        <v>1393</v>
      </c>
      <c r="D155" s="11">
        <v>43937</v>
      </c>
      <c r="E155" s="11">
        <v>43942</v>
      </c>
      <c r="F155" s="31">
        <v>38556000</v>
      </c>
      <c r="G155" s="32">
        <v>0</v>
      </c>
      <c r="H155" s="8" t="s">
        <v>1328</v>
      </c>
      <c r="I155" s="12">
        <v>900588802</v>
      </c>
      <c r="J155" s="13" t="s">
        <v>1329</v>
      </c>
      <c r="K155" s="14">
        <v>3</v>
      </c>
      <c r="L155" s="15" t="s">
        <v>608</v>
      </c>
      <c r="M155" s="16">
        <v>10800000</v>
      </c>
      <c r="N155" s="16">
        <f>M155*0.19</f>
        <v>2052000</v>
      </c>
      <c r="O155" s="16">
        <f t="shared" si="6"/>
        <v>38556000</v>
      </c>
      <c r="P155" s="19" t="s">
        <v>425</v>
      </c>
    </row>
    <row r="156" spans="1:16" x14ac:dyDescent="0.3">
      <c r="A156" s="8" t="s">
        <v>1322</v>
      </c>
      <c r="B156" s="9" t="s">
        <v>1330</v>
      </c>
      <c r="C156" s="17" t="s">
        <v>1331</v>
      </c>
      <c r="D156" s="11">
        <v>43945</v>
      </c>
      <c r="E156" s="11">
        <v>43945</v>
      </c>
      <c r="F156" s="31">
        <v>37196160</v>
      </c>
      <c r="G156" s="32">
        <v>0</v>
      </c>
      <c r="H156" s="8" t="s">
        <v>200</v>
      </c>
      <c r="I156" s="12">
        <v>800037946</v>
      </c>
      <c r="J156" s="13" t="s">
        <v>1332</v>
      </c>
      <c r="K156" s="14">
        <v>93</v>
      </c>
      <c r="L156" s="15" t="s">
        <v>531</v>
      </c>
      <c r="M156" s="16">
        <v>57800</v>
      </c>
      <c r="N156" s="16">
        <v>0</v>
      </c>
      <c r="O156" s="16">
        <f t="shared" si="6"/>
        <v>5375400</v>
      </c>
      <c r="P156" s="19" t="s">
        <v>59</v>
      </c>
    </row>
    <row r="157" spans="1:16" x14ac:dyDescent="0.3">
      <c r="A157" s="8" t="s">
        <v>1322</v>
      </c>
      <c r="B157" s="9" t="s">
        <v>1330</v>
      </c>
      <c r="C157" s="17" t="s">
        <v>1331</v>
      </c>
      <c r="D157" s="11">
        <v>43945</v>
      </c>
      <c r="E157" s="11">
        <v>43945</v>
      </c>
      <c r="F157" s="31">
        <v>37196160</v>
      </c>
      <c r="G157" s="32">
        <v>0</v>
      </c>
      <c r="H157" s="8" t="s">
        <v>200</v>
      </c>
      <c r="I157" s="12">
        <v>800037946</v>
      </c>
      <c r="J157" s="13" t="s">
        <v>1333</v>
      </c>
      <c r="K157" s="14">
        <v>18</v>
      </c>
      <c r="L157" s="15" t="s">
        <v>250</v>
      </c>
      <c r="M157" s="16">
        <v>631600</v>
      </c>
      <c r="N157" s="16">
        <v>0</v>
      </c>
      <c r="O157" s="16">
        <f t="shared" si="6"/>
        <v>11368800</v>
      </c>
      <c r="P157" s="14" t="s">
        <v>136</v>
      </c>
    </row>
    <row r="158" spans="1:16" x14ac:dyDescent="0.3">
      <c r="A158" s="8" t="s">
        <v>1322</v>
      </c>
      <c r="B158" s="9" t="s">
        <v>1330</v>
      </c>
      <c r="C158" s="17" t="s">
        <v>1331</v>
      </c>
      <c r="D158" s="11">
        <v>43945</v>
      </c>
      <c r="E158" s="11">
        <v>43945</v>
      </c>
      <c r="F158" s="31">
        <v>37196160</v>
      </c>
      <c r="G158" s="32">
        <v>0</v>
      </c>
      <c r="H158" s="8" t="s">
        <v>200</v>
      </c>
      <c r="I158" s="12">
        <v>800037946</v>
      </c>
      <c r="J158" s="13" t="s">
        <v>1415</v>
      </c>
      <c r="K158" s="14">
        <v>33000</v>
      </c>
      <c r="L158" s="15" t="s">
        <v>250</v>
      </c>
      <c r="M158" s="16">
        <f>54100/100</f>
        <v>541</v>
      </c>
      <c r="N158" s="16">
        <v>0</v>
      </c>
      <c r="O158" s="16">
        <f t="shared" si="6"/>
        <v>17853000</v>
      </c>
      <c r="P158" s="19" t="s">
        <v>95</v>
      </c>
    </row>
    <row r="159" spans="1:16" x14ac:dyDescent="0.3">
      <c r="A159" s="8" t="s">
        <v>1322</v>
      </c>
      <c r="B159" s="9" t="s">
        <v>1330</v>
      </c>
      <c r="C159" s="17" t="s">
        <v>1331</v>
      </c>
      <c r="D159" s="11">
        <v>43945</v>
      </c>
      <c r="E159" s="11">
        <v>43945</v>
      </c>
      <c r="F159" s="31">
        <v>37196160</v>
      </c>
      <c r="G159" s="32">
        <v>0</v>
      </c>
      <c r="H159" s="8" t="s">
        <v>200</v>
      </c>
      <c r="I159" s="12">
        <v>800037946</v>
      </c>
      <c r="J159" s="13" t="s">
        <v>1334</v>
      </c>
      <c r="K159" s="14">
        <v>60</v>
      </c>
      <c r="L159" s="15" t="s">
        <v>250</v>
      </c>
      <c r="M159" s="16">
        <v>43316</v>
      </c>
      <c r="N159" s="16">
        <v>0</v>
      </c>
      <c r="O159" s="16">
        <f t="shared" si="6"/>
        <v>2598960</v>
      </c>
      <c r="P159" s="19" t="s">
        <v>383</v>
      </c>
    </row>
    <row r="160" spans="1:16" x14ac:dyDescent="0.3">
      <c r="A160" s="8" t="s">
        <v>1322</v>
      </c>
      <c r="B160" s="9" t="s">
        <v>1335</v>
      </c>
      <c r="C160" s="17" t="s">
        <v>1336</v>
      </c>
      <c r="D160" s="11">
        <v>43969</v>
      </c>
      <c r="E160" s="11">
        <v>43970</v>
      </c>
      <c r="F160" s="31">
        <v>17409500</v>
      </c>
      <c r="G160" s="32">
        <v>0</v>
      </c>
      <c r="H160" s="8" t="s">
        <v>1337</v>
      </c>
      <c r="I160" s="12">
        <v>8301448751</v>
      </c>
      <c r="J160" s="13" t="s">
        <v>1338</v>
      </c>
      <c r="K160" s="14">
        <v>500</v>
      </c>
      <c r="L160" s="15" t="s">
        <v>250</v>
      </c>
      <c r="M160" s="16">
        <v>34819</v>
      </c>
      <c r="N160" s="16">
        <v>0</v>
      </c>
      <c r="O160" s="16">
        <f t="shared" si="6"/>
        <v>17409500</v>
      </c>
      <c r="P160" s="19" t="s">
        <v>315</v>
      </c>
    </row>
    <row r="161" spans="1:16" x14ac:dyDescent="0.3">
      <c r="A161" s="8" t="s">
        <v>1322</v>
      </c>
      <c r="B161" s="9" t="s">
        <v>1339</v>
      </c>
      <c r="C161" s="17" t="s">
        <v>1340</v>
      </c>
      <c r="D161" s="11">
        <v>43973</v>
      </c>
      <c r="E161" s="11">
        <v>43977</v>
      </c>
      <c r="F161" s="31">
        <v>13770000</v>
      </c>
      <c r="G161" s="32">
        <v>0</v>
      </c>
      <c r="H161" s="8" t="s">
        <v>1341</v>
      </c>
      <c r="I161" s="12">
        <v>900745087</v>
      </c>
      <c r="J161" s="13" t="s">
        <v>1342</v>
      </c>
      <c r="K161" s="14">
        <v>51</v>
      </c>
      <c r="L161" s="15" t="s">
        <v>250</v>
      </c>
      <c r="M161" s="16">
        <v>270000</v>
      </c>
      <c r="N161" s="16">
        <v>0</v>
      </c>
      <c r="O161" s="16">
        <f t="shared" si="6"/>
        <v>13770000</v>
      </c>
      <c r="P161" s="14" t="s">
        <v>136</v>
      </c>
    </row>
    <row r="162" spans="1:16" x14ac:dyDescent="0.3">
      <c r="A162" s="8" t="s">
        <v>1322</v>
      </c>
      <c r="B162" s="9" t="s">
        <v>1343</v>
      </c>
      <c r="C162" s="17" t="s">
        <v>1344</v>
      </c>
      <c r="D162" s="11">
        <v>43977</v>
      </c>
      <c r="E162" s="11">
        <v>43978</v>
      </c>
      <c r="F162" s="31">
        <v>18549720</v>
      </c>
      <c r="G162" s="32">
        <v>0</v>
      </c>
      <c r="H162" s="8" t="s">
        <v>1345</v>
      </c>
      <c r="I162" s="12">
        <v>1090509490</v>
      </c>
      <c r="J162" s="13" t="s">
        <v>1346</v>
      </c>
      <c r="K162" s="14">
        <v>2</v>
      </c>
      <c r="L162" s="15" t="s">
        <v>250</v>
      </c>
      <c r="M162" s="16">
        <v>1522500</v>
      </c>
      <c r="N162" s="16">
        <f>M162*0.19</f>
        <v>289275</v>
      </c>
      <c r="O162" s="16">
        <f t="shared" si="6"/>
        <v>3623550</v>
      </c>
      <c r="P162" s="14" t="s">
        <v>1274</v>
      </c>
    </row>
    <row r="163" spans="1:16" x14ac:dyDescent="0.3">
      <c r="A163" s="8" t="s">
        <v>1322</v>
      </c>
      <c r="B163" s="9" t="s">
        <v>1343</v>
      </c>
      <c r="C163" s="17" t="s">
        <v>1344</v>
      </c>
      <c r="D163" s="11">
        <v>43977</v>
      </c>
      <c r="E163" s="11">
        <v>43978</v>
      </c>
      <c r="F163" s="31">
        <v>18549720</v>
      </c>
      <c r="G163" s="32">
        <v>0</v>
      </c>
      <c r="H163" s="8" t="s">
        <v>1345</v>
      </c>
      <c r="I163" s="12">
        <v>1090509490</v>
      </c>
      <c r="J163" s="13" t="s">
        <v>1347</v>
      </c>
      <c r="K163" s="14">
        <v>6</v>
      </c>
      <c r="L163" s="15" t="s">
        <v>250</v>
      </c>
      <c r="M163" s="16">
        <v>758000</v>
      </c>
      <c r="N163" s="16">
        <f>M163*0.19</f>
        <v>144020</v>
      </c>
      <c r="O163" s="16">
        <f t="shared" si="6"/>
        <v>5412120</v>
      </c>
      <c r="P163" s="14" t="s">
        <v>1274</v>
      </c>
    </row>
    <row r="164" spans="1:16" x14ac:dyDescent="0.3">
      <c r="A164" s="8" t="s">
        <v>1322</v>
      </c>
      <c r="B164" s="9" t="s">
        <v>1343</v>
      </c>
      <c r="C164" s="17" t="s">
        <v>1344</v>
      </c>
      <c r="D164" s="11">
        <v>43977</v>
      </c>
      <c r="E164" s="11">
        <v>43978</v>
      </c>
      <c r="F164" s="31">
        <v>18549720</v>
      </c>
      <c r="G164" s="32">
        <v>0</v>
      </c>
      <c r="H164" s="8" t="s">
        <v>1345</v>
      </c>
      <c r="I164" s="12">
        <v>1090509490</v>
      </c>
      <c r="J164" s="13" t="s">
        <v>1384</v>
      </c>
      <c r="K164" s="14">
        <v>39</v>
      </c>
      <c r="L164" s="15" t="s">
        <v>250</v>
      </c>
      <c r="M164" s="16">
        <v>205000</v>
      </c>
      <c r="N164" s="16">
        <f>M164*0.19</f>
        <v>38950</v>
      </c>
      <c r="O164" s="16">
        <f t="shared" si="6"/>
        <v>9514050</v>
      </c>
      <c r="P164" s="14" t="s">
        <v>1383</v>
      </c>
    </row>
    <row r="165" spans="1:16" x14ac:dyDescent="0.3">
      <c r="A165" s="8" t="s">
        <v>1322</v>
      </c>
      <c r="B165" s="9" t="s">
        <v>1348</v>
      </c>
      <c r="C165" s="17" t="s">
        <v>1349</v>
      </c>
      <c r="D165" s="11">
        <v>43985</v>
      </c>
      <c r="E165" s="11">
        <v>43985</v>
      </c>
      <c r="F165" s="31">
        <v>22580250</v>
      </c>
      <c r="G165" s="32">
        <v>0</v>
      </c>
      <c r="H165" s="8" t="s">
        <v>1350</v>
      </c>
      <c r="I165" s="12">
        <v>1090509490</v>
      </c>
      <c r="J165" s="13" t="s">
        <v>1351</v>
      </c>
      <c r="K165" s="14">
        <v>47</v>
      </c>
      <c r="L165" s="15" t="s">
        <v>250</v>
      </c>
      <c r="M165" s="16">
        <v>285000</v>
      </c>
      <c r="N165" s="16">
        <f>M165*0.19</f>
        <v>54150</v>
      </c>
      <c r="O165" s="16">
        <f t="shared" si="6"/>
        <v>15940050</v>
      </c>
      <c r="P165" s="19" t="s">
        <v>196</v>
      </c>
    </row>
    <row r="166" spans="1:16" x14ac:dyDescent="0.3">
      <c r="A166" s="8" t="s">
        <v>1322</v>
      </c>
      <c r="B166" s="9" t="s">
        <v>1348</v>
      </c>
      <c r="C166" s="17" t="s">
        <v>1349</v>
      </c>
      <c r="D166" s="11">
        <v>43985</v>
      </c>
      <c r="E166" s="11">
        <v>43985</v>
      </c>
      <c r="F166" s="31">
        <v>22580250</v>
      </c>
      <c r="G166" s="32">
        <v>0</v>
      </c>
      <c r="H166" s="8" t="s">
        <v>1350</v>
      </c>
      <c r="I166" s="12">
        <v>1090509490</v>
      </c>
      <c r="J166" s="13" t="s">
        <v>1352</v>
      </c>
      <c r="K166" s="14">
        <v>12</v>
      </c>
      <c r="L166" s="15" t="s">
        <v>250</v>
      </c>
      <c r="M166" s="16">
        <v>465000</v>
      </c>
      <c r="N166" s="16">
        <f>M166*0.19</f>
        <v>88350</v>
      </c>
      <c r="O166" s="16">
        <f t="shared" si="6"/>
        <v>6640200</v>
      </c>
      <c r="P166" s="19" t="s">
        <v>196</v>
      </c>
    </row>
    <row r="167" spans="1:16" x14ac:dyDescent="0.3">
      <c r="A167" s="8" t="s">
        <v>1322</v>
      </c>
      <c r="B167" s="9" t="s">
        <v>1353</v>
      </c>
      <c r="C167" s="17" t="s">
        <v>1354</v>
      </c>
      <c r="D167" s="11">
        <v>43969</v>
      </c>
      <c r="E167" s="11">
        <v>43969</v>
      </c>
      <c r="F167" s="31">
        <v>189000000</v>
      </c>
      <c r="G167" s="32">
        <v>0</v>
      </c>
      <c r="H167" s="8" t="s">
        <v>348</v>
      </c>
      <c r="I167" s="12">
        <v>9009354530</v>
      </c>
      <c r="J167" s="13" t="s">
        <v>43</v>
      </c>
      <c r="K167" s="14">
        <v>145000</v>
      </c>
      <c r="L167" s="15" t="s">
        <v>250</v>
      </c>
      <c r="M167" s="16">
        <f>130000/100</f>
        <v>1300</v>
      </c>
      <c r="N167" s="16">
        <v>0</v>
      </c>
      <c r="O167" s="16">
        <f t="shared" si="6"/>
        <v>188500000</v>
      </c>
      <c r="P167" s="19" t="s">
        <v>95</v>
      </c>
    </row>
    <row r="168" spans="1:16" x14ac:dyDescent="0.3">
      <c r="A168" s="8" t="s">
        <v>1322</v>
      </c>
      <c r="B168" s="9" t="s">
        <v>1355</v>
      </c>
      <c r="C168" s="17" t="s">
        <v>1356</v>
      </c>
      <c r="D168" s="11">
        <v>43969</v>
      </c>
      <c r="E168" s="11">
        <v>43969</v>
      </c>
      <c r="F168" s="31">
        <v>28900000</v>
      </c>
      <c r="G168" s="32">
        <v>0</v>
      </c>
      <c r="H168" s="8" t="s">
        <v>1357</v>
      </c>
      <c r="I168" s="12">
        <v>830037946</v>
      </c>
      <c r="J168" s="13" t="s">
        <v>1332</v>
      </c>
      <c r="K168" s="14">
        <v>500</v>
      </c>
      <c r="L168" s="15" t="s">
        <v>531</v>
      </c>
      <c r="M168" s="16">
        <v>57800</v>
      </c>
      <c r="N168" s="16">
        <v>0</v>
      </c>
      <c r="O168" s="16">
        <f t="shared" si="6"/>
        <v>28900000</v>
      </c>
      <c r="P168" s="19" t="s">
        <v>59</v>
      </c>
    </row>
    <row r="169" spans="1:16" x14ac:dyDescent="0.3">
      <c r="A169" s="8" t="s">
        <v>1322</v>
      </c>
      <c r="B169" s="9" t="s">
        <v>1358</v>
      </c>
      <c r="C169" s="17" t="s">
        <v>1366</v>
      </c>
      <c r="D169" s="11">
        <v>43966</v>
      </c>
      <c r="E169" s="11">
        <v>43966</v>
      </c>
      <c r="F169" s="31">
        <v>5445000</v>
      </c>
      <c r="G169" s="32">
        <v>0</v>
      </c>
      <c r="H169" s="8" t="s">
        <v>1132</v>
      </c>
      <c r="I169" s="12">
        <v>807369955</v>
      </c>
      <c r="J169" s="13" t="s">
        <v>43</v>
      </c>
      <c r="K169" s="14">
        <v>5000</v>
      </c>
      <c r="L169" s="15" t="s">
        <v>250</v>
      </c>
      <c r="M169" s="16">
        <f>98900/100</f>
        <v>989</v>
      </c>
      <c r="N169" s="16">
        <v>0</v>
      </c>
      <c r="O169" s="16">
        <f t="shared" si="6"/>
        <v>4945000</v>
      </c>
      <c r="P169" s="19" t="s">
        <v>95</v>
      </c>
    </row>
    <row r="170" spans="1:16" x14ac:dyDescent="0.3">
      <c r="A170" s="8" t="s">
        <v>1322</v>
      </c>
      <c r="B170" s="9" t="s">
        <v>1359</v>
      </c>
      <c r="C170" s="17" t="s">
        <v>1360</v>
      </c>
      <c r="D170" s="11">
        <v>44006</v>
      </c>
      <c r="E170" s="11">
        <v>44005</v>
      </c>
      <c r="F170" s="31">
        <v>87606036</v>
      </c>
      <c r="G170" s="32">
        <v>0</v>
      </c>
      <c r="H170" s="8" t="s">
        <v>1361</v>
      </c>
      <c r="I170" s="12">
        <v>807003817</v>
      </c>
      <c r="J170" s="13" t="s">
        <v>1426</v>
      </c>
      <c r="K170" s="14">
        <v>18</v>
      </c>
      <c r="L170" s="15" t="s">
        <v>1281</v>
      </c>
      <c r="M170" s="16">
        <v>1622334</v>
      </c>
      <c r="N170" s="16">
        <v>0</v>
      </c>
      <c r="O170" s="16">
        <f>K170*(M170+N170)*3</f>
        <v>87606036</v>
      </c>
      <c r="P170" s="19" t="s">
        <v>1282</v>
      </c>
    </row>
    <row r="171" spans="1:16" x14ac:dyDescent="0.3">
      <c r="A171" s="8" t="s">
        <v>1322</v>
      </c>
      <c r="B171" s="9" t="s">
        <v>1362</v>
      </c>
      <c r="C171" s="17" t="s">
        <v>1399</v>
      </c>
      <c r="D171" s="11">
        <v>44007</v>
      </c>
      <c r="E171" s="11">
        <v>44012</v>
      </c>
      <c r="F171" s="31">
        <v>8568000</v>
      </c>
      <c r="G171" s="32">
        <v>0</v>
      </c>
      <c r="H171" s="8" t="s">
        <v>1363</v>
      </c>
      <c r="I171" s="12">
        <v>372476171</v>
      </c>
      <c r="J171" s="13" t="s">
        <v>1364</v>
      </c>
      <c r="K171" s="14">
        <v>60</v>
      </c>
      <c r="L171" s="15" t="s">
        <v>250</v>
      </c>
      <c r="M171" s="16">
        <v>120000</v>
      </c>
      <c r="N171" s="16">
        <f>M171*0.19</f>
        <v>22800</v>
      </c>
      <c r="O171" s="16">
        <f t="shared" si="6"/>
        <v>8568000</v>
      </c>
      <c r="P171" s="14" t="s">
        <v>1383</v>
      </c>
    </row>
    <row r="172" spans="1:16" x14ac:dyDescent="0.3">
      <c r="A172" s="8" t="s">
        <v>387</v>
      </c>
      <c r="B172" s="9" t="s">
        <v>388</v>
      </c>
      <c r="C172" s="10" t="s">
        <v>389</v>
      </c>
      <c r="D172" s="11">
        <v>43917</v>
      </c>
      <c r="E172" s="11">
        <v>43917</v>
      </c>
      <c r="F172" s="31">
        <v>4000000</v>
      </c>
      <c r="G172" s="32">
        <v>0</v>
      </c>
      <c r="H172" s="8" t="s">
        <v>390</v>
      </c>
      <c r="I172" s="12">
        <v>813005241</v>
      </c>
      <c r="J172" s="13" t="s">
        <v>391</v>
      </c>
      <c r="K172" s="14">
        <v>200</v>
      </c>
      <c r="L172" s="15" t="s">
        <v>250</v>
      </c>
      <c r="M172" s="16">
        <v>16806.72</v>
      </c>
      <c r="N172" s="16">
        <f>M172*0.19</f>
        <v>3193.2768000000001</v>
      </c>
      <c r="O172" s="16">
        <f t="shared" si="6"/>
        <v>3999999.3600000003</v>
      </c>
      <c r="P172" s="14" t="s">
        <v>21</v>
      </c>
    </row>
    <row r="173" spans="1:16" x14ac:dyDescent="0.3">
      <c r="A173" s="8" t="s">
        <v>387</v>
      </c>
      <c r="B173" s="9" t="s">
        <v>392</v>
      </c>
      <c r="C173" s="10" t="s">
        <v>393</v>
      </c>
      <c r="D173" s="11">
        <v>43963</v>
      </c>
      <c r="E173" s="11">
        <v>43963</v>
      </c>
      <c r="F173" s="31">
        <v>166018725</v>
      </c>
      <c r="G173" s="32">
        <v>0</v>
      </c>
      <c r="H173" s="8" t="s">
        <v>390</v>
      </c>
      <c r="I173" s="12">
        <v>813005241</v>
      </c>
      <c r="J173" s="13" t="s">
        <v>1416</v>
      </c>
      <c r="K173" s="14">
        <v>26000</v>
      </c>
      <c r="L173" s="15" t="s">
        <v>250</v>
      </c>
      <c r="M173" s="16">
        <v>1100</v>
      </c>
      <c r="N173" s="16">
        <v>0</v>
      </c>
      <c r="O173" s="16">
        <f t="shared" si="6"/>
        <v>28600000</v>
      </c>
      <c r="P173" s="14" t="s">
        <v>95</v>
      </c>
    </row>
    <row r="174" spans="1:16" x14ac:dyDescent="0.3">
      <c r="A174" s="8" t="s">
        <v>387</v>
      </c>
      <c r="B174" s="9" t="s">
        <v>392</v>
      </c>
      <c r="C174" s="10" t="s">
        <v>393</v>
      </c>
      <c r="D174" s="11">
        <v>43963</v>
      </c>
      <c r="E174" s="11">
        <v>43963</v>
      </c>
      <c r="F174" s="31">
        <v>166018725</v>
      </c>
      <c r="G174" s="32">
        <v>0</v>
      </c>
      <c r="H174" s="8" t="s">
        <v>390</v>
      </c>
      <c r="I174" s="12">
        <v>813005241</v>
      </c>
      <c r="J174" s="13" t="s">
        <v>394</v>
      </c>
      <c r="K174" s="14">
        <v>600</v>
      </c>
      <c r="L174" s="15" t="s">
        <v>531</v>
      </c>
      <c r="M174" s="16">
        <v>42100</v>
      </c>
      <c r="N174" s="16">
        <v>0</v>
      </c>
      <c r="O174" s="16">
        <f t="shared" si="6"/>
        <v>25260000</v>
      </c>
      <c r="P174" s="14" t="s">
        <v>59</v>
      </c>
    </row>
    <row r="175" spans="1:16" x14ac:dyDescent="0.3">
      <c r="A175" s="8" t="s">
        <v>387</v>
      </c>
      <c r="B175" s="9" t="s">
        <v>392</v>
      </c>
      <c r="C175" s="10" t="s">
        <v>393</v>
      </c>
      <c r="D175" s="11">
        <v>43963</v>
      </c>
      <c r="E175" s="11">
        <v>43963</v>
      </c>
      <c r="F175" s="31">
        <v>166018725</v>
      </c>
      <c r="G175" s="32">
        <v>0</v>
      </c>
      <c r="H175" s="8" t="s">
        <v>390</v>
      </c>
      <c r="I175" s="12">
        <v>813005241</v>
      </c>
      <c r="J175" s="13" t="s">
        <v>1279</v>
      </c>
      <c r="K175" s="14">
        <v>491</v>
      </c>
      <c r="L175" s="15" t="s">
        <v>1277</v>
      </c>
      <c r="M175" s="16">
        <v>6975</v>
      </c>
      <c r="N175" s="16">
        <v>0</v>
      </c>
      <c r="O175" s="16">
        <f t="shared" si="6"/>
        <v>3424725</v>
      </c>
      <c r="P175" s="14" t="s">
        <v>94</v>
      </c>
    </row>
    <row r="176" spans="1:16" x14ac:dyDescent="0.3">
      <c r="A176" s="8" t="s">
        <v>387</v>
      </c>
      <c r="B176" s="9" t="s">
        <v>392</v>
      </c>
      <c r="C176" s="10" t="s">
        <v>393</v>
      </c>
      <c r="D176" s="11">
        <v>43963</v>
      </c>
      <c r="E176" s="11">
        <v>43963</v>
      </c>
      <c r="F176" s="31">
        <v>166018725</v>
      </c>
      <c r="G176" s="32">
        <v>0</v>
      </c>
      <c r="H176" s="8" t="s">
        <v>390</v>
      </c>
      <c r="I176" s="12">
        <v>813005241</v>
      </c>
      <c r="J176" s="13" t="s">
        <v>1439</v>
      </c>
      <c r="K176" s="24">
        <f>700*3.8</f>
        <v>2660</v>
      </c>
      <c r="L176" s="15" t="s">
        <v>172</v>
      </c>
      <c r="M176" s="16">
        <f>58820/3.8</f>
        <v>15478.947368421053</v>
      </c>
      <c r="N176" s="16">
        <v>0</v>
      </c>
      <c r="O176" s="16">
        <f t="shared" si="6"/>
        <v>41174000</v>
      </c>
      <c r="P176" s="14" t="s">
        <v>34</v>
      </c>
    </row>
    <row r="177" spans="1:16" x14ac:dyDescent="0.3">
      <c r="A177" s="8" t="s">
        <v>387</v>
      </c>
      <c r="B177" s="9" t="s">
        <v>392</v>
      </c>
      <c r="C177" s="10" t="s">
        <v>393</v>
      </c>
      <c r="D177" s="11">
        <v>43963</v>
      </c>
      <c r="E177" s="11">
        <v>43963</v>
      </c>
      <c r="F177" s="31">
        <v>166018725</v>
      </c>
      <c r="G177" s="32">
        <v>0</v>
      </c>
      <c r="H177" s="8" t="s">
        <v>390</v>
      </c>
      <c r="I177" s="12">
        <v>813005241</v>
      </c>
      <c r="J177" s="13" t="s">
        <v>1440</v>
      </c>
      <c r="K177" s="14">
        <f>600*4</f>
        <v>2400</v>
      </c>
      <c r="L177" s="15" t="s">
        <v>172</v>
      </c>
      <c r="M177" s="16">
        <v>7500</v>
      </c>
      <c r="N177" s="16">
        <v>0</v>
      </c>
      <c r="O177" s="16">
        <f t="shared" si="6"/>
        <v>18000000</v>
      </c>
      <c r="P177" s="14" t="s">
        <v>36</v>
      </c>
    </row>
    <row r="178" spans="1:16" x14ac:dyDescent="0.3">
      <c r="A178" s="8" t="s">
        <v>387</v>
      </c>
      <c r="B178" s="9" t="s">
        <v>392</v>
      </c>
      <c r="C178" s="10" t="s">
        <v>393</v>
      </c>
      <c r="D178" s="11">
        <v>43963</v>
      </c>
      <c r="E178" s="11">
        <v>43963</v>
      </c>
      <c r="F178" s="31">
        <v>166018725</v>
      </c>
      <c r="G178" s="32">
        <v>0</v>
      </c>
      <c r="H178" s="8" t="s">
        <v>390</v>
      </c>
      <c r="I178" s="12">
        <v>813005241</v>
      </c>
      <c r="J178" s="13" t="s">
        <v>395</v>
      </c>
      <c r="K178" s="14">
        <v>15</v>
      </c>
      <c r="L178" s="15" t="s">
        <v>250</v>
      </c>
      <c r="M178" s="16">
        <v>380000</v>
      </c>
      <c r="N178" s="16">
        <v>0</v>
      </c>
      <c r="O178" s="16">
        <f t="shared" si="6"/>
        <v>5700000</v>
      </c>
      <c r="P178" s="14" t="s">
        <v>136</v>
      </c>
    </row>
    <row r="179" spans="1:16" x14ac:dyDescent="0.3">
      <c r="A179" s="8" t="s">
        <v>387</v>
      </c>
      <c r="B179" s="9" t="s">
        <v>392</v>
      </c>
      <c r="C179" s="10" t="s">
        <v>393</v>
      </c>
      <c r="D179" s="11">
        <v>43963</v>
      </c>
      <c r="E179" s="11">
        <v>43963</v>
      </c>
      <c r="F179" s="31">
        <v>166018725</v>
      </c>
      <c r="G179" s="32">
        <v>0</v>
      </c>
      <c r="H179" s="8" t="s">
        <v>390</v>
      </c>
      <c r="I179" s="12">
        <v>813005241</v>
      </c>
      <c r="J179" s="13" t="s">
        <v>396</v>
      </c>
      <c r="K179" s="14">
        <v>17</v>
      </c>
      <c r="L179" s="15" t="s">
        <v>250</v>
      </c>
      <c r="M179" s="16">
        <v>2168067.23</v>
      </c>
      <c r="N179" s="16">
        <f>M179*0.19</f>
        <v>411932.77370000002</v>
      </c>
      <c r="O179" s="16">
        <f t="shared" si="6"/>
        <v>43860000.062900007</v>
      </c>
      <c r="P179" s="14" t="s">
        <v>1274</v>
      </c>
    </row>
    <row r="180" spans="1:16" x14ac:dyDescent="0.3">
      <c r="A180" s="8" t="s">
        <v>387</v>
      </c>
      <c r="B180" s="9" t="s">
        <v>397</v>
      </c>
      <c r="C180" s="10" t="s">
        <v>398</v>
      </c>
      <c r="D180" s="11">
        <v>44015</v>
      </c>
      <c r="E180" s="11">
        <v>44018</v>
      </c>
      <c r="F180" s="31">
        <v>201000100</v>
      </c>
      <c r="G180" s="32">
        <v>0</v>
      </c>
      <c r="H180" s="8" t="s">
        <v>390</v>
      </c>
      <c r="I180" s="12">
        <v>813005241</v>
      </c>
      <c r="J180" s="13" t="s">
        <v>95</v>
      </c>
      <c r="K180" s="14">
        <v>75000</v>
      </c>
      <c r="L180" s="15" t="s">
        <v>250</v>
      </c>
      <c r="M180" s="16">
        <v>1320</v>
      </c>
      <c r="N180" s="16">
        <v>0</v>
      </c>
      <c r="O180" s="16">
        <f t="shared" si="6"/>
        <v>99000000</v>
      </c>
      <c r="P180" s="14" t="s">
        <v>95</v>
      </c>
    </row>
    <row r="181" spans="1:16" x14ac:dyDescent="0.3">
      <c r="A181" s="8" t="s">
        <v>387</v>
      </c>
      <c r="B181" s="9" t="s">
        <v>397</v>
      </c>
      <c r="C181" s="10" t="s">
        <v>398</v>
      </c>
      <c r="D181" s="11">
        <v>44015</v>
      </c>
      <c r="E181" s="11">
        <v>44018</v>
      </c>
      <c r="F181" s="31">
        <v>201000100</v>
      </c>
      <c r="G181" s="32">
        <v>0</v>
      </c>
      <c r="H181" s="8" t="s">
        <v>390</v>
      </c>
      <c r="I181" s="12">
        <v>813005241</v>
      </c>
      <c r="J181" s="13" t="s">
        <v>399</v>
      </c>
      <c r="K181" s="14">
        <v>265</v>
      </c>
      <c r="L181" s="15" t="s">
        <v>531</v>
      </c>
      <c r="M181" s="16">
        <v>43000</v>
      </c>
      <c r="N181" s="16">
        <v>0</v>
      </c>
      <c r="O181" s="16">
        <f t="shared" si="6"/>
        <v>11395000</v>
      </c>
      <c r="P181" s="14" t="s">
        <v>59</v>
      </c>
    </row>
    <row r="182" spans="1:16" x14ac:dyDescent="0.3">
      <c r="A182" s="8" t="s">
        <v>387</v>
      </c>
      <c r="B182" s="9" t="s">
        <v>397</v>
      </c>
      <c r="C182" s="10" t="s">
        <v>398</v>
      </c>
      <c r="D182" s="11">
        <v>44015</v>
      </c>
      <c r="E182" s="11">
        <v>44018</v>
      </c>
      <c r="F182" s="31">
        <v>201000100</v>
      </c>
      <c r="G182" s="32">
        <v>0</v>
      </c>
      <c r="H182" s="8" t="s">
        <v>390</v>
      </c>
      <c r="I182" s="12">
        <v>813005241</v>
      </c>
      <c r="J182" s="13" t="s">
        <v>1279</v>
      </c>
      <c r="K182" s="14">
        <v>975</v>
      </c>
      <c r="L182" s="15" t="s">
        <v>1277</v>
      </c>
      <c r="M182" s="16">
        <v>6300</v>
      </c>
      <c r="N182" s="16">
        <v>0</v>
      </c>
      <c r="O182" s="16">
        <f t="shared" si="6"/>
        <v>6142500</v>
      </c>
      <c r="P182" s="14" t="s">
        <v>94</v>
      </c>
    </row>
    <row r="183" spans="1:16" x14ac:dyDescent="0.3">
      <c r="A183" s="8" t="s">
        <v>387</v>
      </c>
      <c r="B183" s="9" t="s">
        <v>397</v>
      </c>
      <c r="C183" s="10" t="s">
        <v>398</v>
      </c>
      <c r="D183" s="11">
        <v>44015</v>
      </c>
      <c r="E183" s="11">
        <v>44018</v>
      </c>
      <c r="F183" s="31">
        <v>201000100</v>
      </c>
      <c r="G183" s="32">
        <v>0</v>
      </c>
      <c r="H183" s="8" t="s">
        <v>390</v>
      </c>
      <c r="I183" s="12">
        <v>813005241</v>
      </c>
      <c r="J183" s="13" t="s">
        <v>400</v>
      </c>
      <c r="K183" s="24">
        <f>750*3.8</f>
        <v>2850</v>
      </c>
      <c r="L183" s="15" t="s">
        <v>172</v>
      </c>
      <c r="M183" s="16">
        <v>54000</v>
      </c>
      <c r="N183" s="16">
        <v>0</v>
      </c>
      <c r="O183" s="16">
        <f t="shared" si="6"/>
        <v>153900000</v>
      </c>
      <c r="P183" s="14" t="s">
        <v>34</v>
      </c>
    </row>
    <row r="184" spans="1:16" x14ac:dyDescent="0.3">
      <c r="A184" s="8" t="s">
        <v>387</v>
      </c>
      <c r="B184" s="9" t="s">
        <v>397</v>
      </c>
      <c r="C184" s="10" t="s">
        <v>398</v>
      </c>
      <c r="D184" s="11">
        <v>44015</v>
      </c>
      <c r="E184" s="11">
        <v>44018</v>
      </c>
      <c r="F184" s="31">
        <v>201000100</v>
      </c>
      <c r="G184" s="32">
        <v>0</v>
      </c>
      <c r="H184" s="8" t="s">
        <v>390</v>
      </c>
      <c r="I184" s="12">
        <v>813005241</v>
      </c>
      <c r="J184" s="13" t="s">
        <v>1376</v>
      </c>
      <c r="K184" s="24">
        <v>30</v>
      </c>
      <c r="L184" s="15" t="s">
        <v>172</v>
      </c>
      <c r="M184" s="16">
        <v>9900</v>
      </c>
      <c r="N184" s="16">
        <v>0</v>
      </c>
      <c r="O184" s="16">
        <f t="shared" si="6"/>
        <v>297000</v>
      </c>
      <c r="P184" s="14" t="s">
        <v>34</v>
      </c>
    </row>
    <row r="185" spans="1:16" x14ac:dyDescent="0.3">
      <c r="A185" s="8" t="s">
        <v>387</v>
      </c>
      <c r="B185" s="9" t="s">
        <v>397</v>
      </c>
      <c r="C185" s="10" t="s">
        <v>398</v>
      </c>
      <c r="D185" s="11">
        <v>44015</v>
      </c>
      <c r="E185" s="11">
        <v>44018</v>
      </c>
      <c r="F185" s="31">
        <v>201000100</v>
      </c>
      <c r="G185" s="32">
        <v>0</v>
      </c>
      <c r="H185" s="8" t="s">
        <v>390</v>
      </c>
      <c r="I185" s="12">
        <v>813005241</v>
      </c>
      <c r="J185" s="13" t="s">
        <v>1440</v>
      </c>
      <c r="K185" s="14">
        <f>600*4</f>
        <v>2400</v>
      </c>
      <c r="L185" s="15" t="s">
        <v>172</v>
      </c>
      <c r="M185" s="16">
        <v>6000</v>
      </c>
      <c r="N185" s="16">
        <v>0</v>
      </c>
      <c r="O185" s="16">
        <f t="shared" si="6"/>
        <v>14400000</v>
      </c>
      <c r="P185" s="14" t="s">
        <v>36</v>
      </c>
    </row>
    <row r="186" spans="1:16" x14ac:dyDescent="0.3">
      <c r="A186" s="8" t="s">
        <v>387</v>
      </c>
      <c r="B186" s="9" t="s">
        <v>397</v>
      </c>
      <c r="C186" s="10" t="s">
        <v>398</v>
      </c>
      <c r="D186" s="11">
        <v>44015</v>
      </c>
      <c r="E186" s="11">
        <v>44018</v>
      </c>
      <c r="F186" s="31">
        <v>201000100</v>
      </c>
      <c r="G186" s="32">
        <v>0</v>
      </c>
      <c r="H186" s="8" t="s">
        <v>390</v>
      </c>
      <c r="I186" s="12">
        <v>813005241</v>
      </c>
      <c r="J186" s="13" t="s">
        <v>232</v>
      </c>
      <c r="K186" s="14">
        <v>1000</v>
      </c>
      <c r="L186" s="15" t="s">
        <v>250</v>
      </c>
      <c r="M186" s="16">
        <v>8300</v>
      </c>
      <c r="N186" s="16">
        <v>0</v>
      </c>
      <c r="O186" s="16">
        <f t="shared" si="6"/>
        <v>8300000</v>
      </c>
      <c r="P186" s="14" t="s">
        <v>232</v>
      </c>
    </row>
    <row r="187" spans="1:16" x14ac:dyDescent="0.3">
      <c r="A187" s="8" t="s">
        <v>387</v>
      </c>
      <c r="B187" s="9" t="s">
        <v>397</v>
      </c>
      <c r="C187" s="10" t="s">
        <v>398</v>
      </c>
      <c r="D187" s="11">
        <v>44015</v>
      </c>
      <c r="E187" s="11">
        <v>44018</v>
      </c>
      <c r="F187" s="31">
        <v>201000100</v>
      </c>
      <c r="G187" s="32">
        <v>0</v>
      </c>
      <c r="H187" s="8" t="s">
        <v>390</v>
      </c>
      <c r="I187" s="12">
        <v>813005241</v>
      </c>
      <c r="J187" s="13" t="s">
        <v>401</v>
      </c>
      <c r="K187" s="14">
        <v>50</v>
      </c>
      <c r="L187" s="15" t="s">
        <v>250</v>
      </c>
      <c r="M187" s="16">
        <v>8000</v>
      </c>
      <c r="N187" s="16">
        <v>0</v>
      </c>
      <c r="O187" s="16">
        <f t="shared" si="6"/>
        <v>400000</v>
      </c>
      <c r="P187" s="14" t="s">
        <v>402</v>
      </c>
    </row>
    <row r="188" spans="1:16" x14ac:dyDescent="0.3">
      <c r="A188" s="8" t="s">
        <v>387</v>
      </c>
      <c r="B188" s="9" t="s">
        <v>397</v>
      </c>
      <c r="C188" s="10" t="s">
        <v>398</v>
      </c>
      <c r="D188" s="11">
        <v>44015</v>
      </c>
      <c r="E188" s="11">
        <v>44018</v>
      </c>
      <c r="F188" s="31">
        <v>201000100</v>
      </c>
      <c r="G188" s="32">
        <v>0</v>
      </c>
      <c r="H188" s="8" t="s">
        <v>390</v>
      </c>
      <c r="I188" s="12">
        <v>813005241</v>
      </c>
      <c r="J188" s="13" t="s">
        <v>403</v>
      </c>
      <c r="K188" s="14">
        <v>150</v>
      </c>
      <c r="L188" s="15" t="s">
        <v>250</v>
      </c>
      <c r="M188" s="16">
        <v>22000</v>
      </c>
      <c r="N188" s="16">
        <v>0</v>
      </c>
      <c r="O188" s="16">
        <f t="shared" si="6"/>
        <v>3300000</v>
      </c>
      <c r="P188" s="14" t="s">
        <v>383</v>
      </c>
    </row>
    <row r="189" spans="1:16" x14ac:dyDescent="0.3">
      <c r="A189" s="8" t="s">
        <v>387</v>
      </c>
      <c r="B189" s="9" t="s">
        <v>397</v>
      </c>
      <c r="C189" s="10" t="s">
        <v>398</v>
      </c>
      <c r="D189" s="11">
        <v>44015</v>
      </c>
      <c r="E189" s="11">
        <v>44018</v>
      </c>
      <c r="F189" s="31">
        <v>201000100</v>
      </c>
      <c r="G189" s="32">
        <v>0</v>
      </c>
      <c r="H189" s="8" t="s">
        <v>390</v>
      </c>
      <c r="I189" s="12">
        <v>813005241</v>
      </c>
      <c r="J189" s="13" t="s">
        <v>360</v>
      </c>
      <c r="K189" s="14">
        <v>200</v>
      </c>
      <c r="L189" s="15" t="s">
        <v>1246</v>
      </c>
      <c r="M189" s="16">
        <v>17500</v>
      </c>
      <c r="N189" s="16">
        <v>0</v>
      </c>
      <c r="O189" s="16">
        <f t="shared" si="6"/>
        <v>3500000</v>
      </c>
      <c r="P189" s="14" t="s">
        <v>1387</v>
      </c>
    </row>
    <row r="190" spans="1:16" x14ac:dyDescent="0.3">
      <c r="A190" s="8" t="s">
        <v>387</v>
      </c>
      <c r="B190" s="9" t="s">
        <v>397</v>
      </c>
      <c r="C190" s="10" t="s">
        <v>398</v>
      </c>
      <c r="D190" s="11">
        <v>44015</v>
      </c>
      <c r="E190" s="11">
        <v>44018</v>
      </c>
      <c r="F190" s="31">
        <v>201000100</v>
      </c>
      <c r="G190" s="32">
        <v>0</v>
      </c>
      <c r="H190" s="8" t="s">
        <v>390</v>
      </c>
      <c r="I190" s="12">
        <v>813005241</v>
      </c>
      <c r="J190" s="13" t="s">
        <v>404</v>
      </c>
      <c r="K190" s="14">
        <v>48</v>
      </c>
      <c r="L190" s="15" t="s">
        <v>250</v>
      </c>
      <c r="M190" s="16">
        <v>43200</v>
      </c>
      <c r="N190" s="16">
        <v>0</v>
      </c>
      <c r="O190" s="16">
        <f t="shared" si="6"/>
        <v>2073600</v>
      </c>
      <c r="P190" s="14" t="s">
        <v>1383</v>
      </c>
    </row>
    <row r="191" spans="1:16" x14ac:dyDescent="0.3">
      <c r="A191" s="8" t="s">
        <v>387</v>
      </c>
      <c r="B191" s="9" t="s">
        <v>405</v>
      </c>
      <c r="C191" s="10" t="s">
        <v>1219</v>
      </c>
      <c r="D191" s="11">
        <v>44005</v>
      </c>
      <c r="E191" s="11">
        <v>44006</v>
      </c>
      <c r="F191" s="31">
        <v>83500000</v>
      </c>
      <c r="G191" s="32">
        <v>0</v>
      </c>
      <c r="H191" s="8" t="s">
        <v>406</v>
      </c>
      <c r="I191" s="12">
        <v>890701338</v>
      </c>
      <c r="J191" s="13" t="s">
        <v>1424</v>
      </c>
      <c r="K191" s="14">
        <v>13</v>
      </c>
      <c r="L191" s="15" t="s">
        <v>1281</v>
      </c>
      <c r="M191" s="16">
        <f>27833333/13</f>
        <v>2141025.6153846155</v>
      </c>
      <c r="N191" s="16">
        <v>0</v>
      </c>
      <c r="O191" s="16">
        <f>K191*(M191+N191)*3</f>
        <v>83499999</v>
      </c>
      <c r="P191" s="14" t="s">
        <v>1282</v>
      </c>
    </row>
    <row r="192" spans="1:16" x14ac:dyDescent="0.3">
      <c r="A192" s="8" t="s">
        <v>407</v>
      </c>
      <c r="B192" s="9" t="s">
        <v>408</v>
      </c>
      <c r="C192" s="10" t="s">
        <v>1220</v>
      </c>
      <c r="D192" s="11">
        <v>43910</v>
      </c>
      <c r="E192" s="11">
        <v>43910</v>
      </c>
      <c r="F192" s="31">
        <v>3689000</v>
      </c>
      <c r="G192" s="32">
        <v>0</v>
      </c>
      <c r="H192" s="8" t="s">
        <v>409</v>
      </c>
      <c r="I192" s="12">
        <v>901095058</v>
      </c>
      <c r="J192" s="13" t="s">
        <v>410</v>
      </c>
      <c r="K192" s="14">
        <v>200</v>
      </c>
      <c r="L192" s="15" t="s">
        <v>250</v>
      </c>
      <c r="M192" s="16">
        <v>15500</v>
      </c>
      <c r="N192" s="16">
        <f t="shared" ref="N192:N197" si="7">M192*0.19</f>
        <v>2945</v>
      </c>
      <c r="O192" s="16">
        <f t="shared" ref="O192:O254" si="8">K192*(M192+N192)</f>
        <v>3689000</v>
      </c>
      <c r="P192" s="14" t="s">
        <v>21</v>
      </c>
    </row>
    <row r="193" spans="1:16" x14ac:dyDescent="0.3">
      <c r="A193" s="8" t="s">
        <v>407</v>
      </c>
      <c r="B193" s="9" t="s">
        <v>411</v>
      </c>
      <c r="C193" s="10" t="s">
        <v>1221</v>
      </c>
      <c r="D193" s="11">
        <v>43910</v>
      </c>
      <c r="E193" s="11">
        <v>43910</v>
      </c>
      <c r="F193" s="31">
        <v>9496200</v>
      </c>
      <c r="G193" s="32">
        <v>0</v>
      </c>
      <c r="H193" s="8" t="s">
        <v>412</v>
      </c>
      <c r="I193" s="12">
        <v>890806147</v>
      </c>
      <c r="J193" s="13" t="s">
        <v>413</v>
      </c>
      <c r="K193" s="14">
        <v>80</v>
      </c>
      <c r="L193" s="15" t="s">
        <v>531</v>
      </c>
      <c r="M193" s="16">
        <v>15000</v>
      </c>
      <c r="N193" s="16">
        <f t="shared" si="7"/>
        <v>2850</v>
      </c>
      <c r="O193" s="16">
        <f t="shared" si="8"/>
        <v>1428000</v>
      </c>
      <c r="P193" s="14" t="s">
        <v>23</v>
      </c>
    </row>
    <row r="194" spans="1:16" x14ac:dyDescent="0.3">
      <c r="A194" s="8" t="s">
        <v>407</v>
      </c>
      <c r="B194" s="9" t="s">
        <v>411</v>
      </c>
      <c r="C194" s="10" t="s">
        <v>1221</v>
      </c>
      <c r="D194" s="11">
        <v>43910</v>
      </c>
      <c r="E194" s="11">
        <v>43910</v>
      </c>
      <c r="F194" s="31">
        <v>9496200</v>
      </c>
      <c r="G194" s="32">
        <v>0</v>
      </c>
      <c r="H194" s="8" t="s">
        <v>412</v>
      </c>
      <c r="I194" s="12">
        <v>890806147</v>
      </c>
      <c r="J194" s="13" t="s">
        <v>414</v>
      </c>
      <c r="K194" s="14">
        <v>116</v>
      </c>
      <c r="L194" s="15" t="s">
        <v>531</v>
      </c>
      <c r="M194" s="16">
        <v>15000</v>
      </c>
      <c r="N194" s="16">
        <f t="shared" si="7"/>
        <v>2850</v>
      </c>
      <c r="O194" s="16">
        <f t="shared" si="8"/>
        <v>2070600</v>
      </c>
      <c r="P194" s="14" t="s">
        <v>23</v>
      </c>
    </row>
    <row r="195" spans="1:16" x14ac:dyDescent="0.3">
      <c r="A195" s="8" t="s">
        <v>407</v>
      </c>
      <c r="B195" s="9" t="s">
        <v>411</v>
      </c>
      <c r="C195" s="10" t="s">
        <v>1221</v>
      </c>
      <c r="D195" s="11">
        <v>43910</v>
      </c>
      <c r="E195" s="11">
        <v>43910</v>
      </c>
      <c r="F195" s="31">
        <v>9496200</v>
      </c>
      <c r="G195" s="32">
        <v>0</v>
      </c>
      <c r="H195" s="8" t="s">
        <v>412</v>
      </c>
      <c r="I195" s="12">
        <v>890806147</v>
      </c>
      <c r="J195" s="13" t="s">
        <v>1417</v>
      </c>
      <c r="K195" s="14">
        <f>143*50</f>
        <v>7150</v>
      </c>
      <c r="L195" s="15" t="s">
        <v>250</v>
      </c>
      <c r="M195" s="16">
        <v>600</v>
      </c>
      <c r="N195" s="16">
        <f t="shared" si="7"/>
        <v>114</v>
      </c>
      <c r="O195" s="16">
        <f t="shared" si="8"/>
        <v>5105100</v>
      </c>
      <c r="P195" s="14" t="s">
        <v>95</v>
      </c>
    </row>
    <row r="196" spans="1:16" x14ac:dyDescent="0.3">
      <c r="A196" s="8" t="s">
        <v>407</v>
      </c>
      <c r="B196" s="9" t="s">
        <v>411</v>
      </c>
      <c r="C196" s="10" t="s">
        <v>1221</v>
      </c>
      <c r="D196" s="11">
        <v>43910</v>
      </c>
      <c r="E196" s="11">
        <v>43910</v>
      </c>
      <c r="F196" s="31">
        <v>9496200</v>
      </c>
      <c r="G196" s="32">
        <v>0</v>
      </c>
      <c r="H196" s="8" t="s">
        <v>412</v>
      </c>
      <c r="I196" s="12">
        <v>890806147</v>
      </c>
      <c r="J196" s="13" t="s">
        <v>1409</v>
      </c>
      <c r="K196" s="14">
        <v>30</v>
      </c>
      <c r="L196" s="15" t="s">
        <v>250</v>
      </c>
      <c r="M196" s="16">
        <v>25000</v>
      </c>
      <c r="N196" s="16">
        <f t="shared" si="7"/>
        <v>4750</v>
      </c>
      <c r="O196" s="16">
        <f t="shared" si="8"/>
        <v>892500</v>
      </c>
      <c r="P196" s="14" t="s">
        <v>95</v>
      </c>
    </row>
    <row r="197" spans="1:16" x14ac:dyDescent="0.3">
      <c r="A197" s="8" t="s">
        <v>407</v>
      </c>
      <c r="B197" s="9" t="s">
        <v>415</v>
      </c>
      <c r="C197" s="10" t="s">
        <v>1222</v>
      </c>
      <c r="D197" s="11">
        <v>43923</v>
      </c>
      <c r="E197" s="11">
        <v>43923</v>
      </c>
      <c r="F197" s="31">
        <v>4307800</v>
      </c>
      <c r="G197" s="32">
        <v>0</v>
      </c>
      <c r="H197" s="8" t="s">
        <v>409</v>
      </c>
      <c r="I197" s="12">
        <v>901095058</v>
      </c>
      <c r="J197" s="13" t="s">
        <v>416</v>
      </c>
      <c r="K197" s="14">
        <v>100</v>
      </c>
      <c r="L197" s="15" t="s">
        <v>250</v>
      </c>
      <c r="M197" s="16">
        <v>35000</v>
      </c>
      <c r="N197" s="16">
        <f t="shared" si="7"/>
        <v>6650</v>
      </c>
      <c r="O197" s="16">
        <f t="shared" si="8"/>
        <v>4165000</v>
      </c>
      <c r="P197" s="14" t="s">
        <v>21</v>
      </c>
    </row>
    <row r="198" spans="1:16" x14ac:dyDescent="0.3">
      <c r="A198" s="8" t="s">
        <v>407</v>
      </c>
      <c r="B198" s="9" t="s">
        <v>417</v>
      </c>
      <c r="C198" s="10" t="s">
        <v>1223</v>
      </c>
      <c r="D198" s="11">
        <v>43929</v>
      </c>
      <c r="E198" s="11">
        <v>43929</v>
      </c>
      <c r="F198" s="31">
        <v>6125000</v>
      </c>
      <c r="G198" s="32">
        <v>0</v>
      </c>
      <c r="H198" s="8" t="s">
        <v>418</v>
      </c>
      <c r="I198" s="12">
        <v>1053782604</v>
      </c>
      <c r="J198" s="13" t="s">
        <v>33</v>
      </c>
      <c r="K198" s="24">
        <v>175</v>
      </c>
      <c r="L198" s="15" t="s">
        <v>172</v>
      </c>
      <c r="M198" s="16">
        <v>15000</v>
      </c>
      <c r="N198" s="16">
        <v>0</v>
      </c>
      <c r="O198" s="16">
        <f t="shared" si="8"/>
        <v>2625000</v>
      </c>
      <c r="P198" s="14" t="s">
        <v>34</v>
      </c>
    </row>
    <row r="199" spans="1:16" x14ac:dyDescent="0.3">
      <c r="A199" s="8" t="s">
        <v>407</v>
      </c>
      <c r="B199" s="9" t="s">
        <v>417</v>
      </c>
      <c r="C199" s="10" t="s">
        <v>1223</v>
      </c>
      <c r="D199" s="11">
        <v>43929</v>
      </c>
      <c r="E199" s="11">
        <v>43929</v>
      </c>
      <c r="F199" s="31">
        <v>6125000</v>
      </c>
      <c r="G199" s="32">
        <v>0</v>
      </c>
      <c r="H199" s="8" t="s">
        <v>418</v>
      </c>
      <c r="I199" s="12">
        <v>1053782604</v>
      </c>
      <c r="J199" s="13" t="s">
        <v>96</v>
      </c>
      <c r="K199" s="24">
        <v>225</v>
      </c>
      <c r="L199" s="15" t="s">
        <v>172</v>
      </c>
      <c r="M199" s="16">
        <v>14000</v>
      </c>
      <c r="N199" s="16">
        <v>0</v>
      </c>
      <c r="O199" s="16">
        <f t="shared" si="8"/>
        <v>3150000</v>
      </c>
      <c r="P199" s="14" t="s">
        <v>96</v>
      </c>
    </row>
    <row r="200" spans="1:16" x14ac:dyDescent="0.3">
      <c r="A200" s="8" t="s">
        <v>407</v>
      </c>
      <c r="B200" s="9" t="s">
        <v>417</v>
      </c>
      <c r="C200" s="10" t="s">
        <v>1223</v>
      </c>
      <c r="D200" s="11">
        <v>43929</v>
      </c>
      <c r="E200" s="11">
        <v>43929</v>
      </c>
      <c r="F200" s="31">
        <v>6125000</v>
      </c>
      <c r="G200" s="32">
        <v>0</v>
      </c>
      <c r="H200" s="8" t="s">
        <v>418</v>
      </c>
      <c r="I200" s="12">
        <v>1053782604</v>
      </c>
      <c r="J200" s="13" t="s">
        <v>96</v>
      </c>
      <c r="K200" s="24">
        <v>26.1</v>
      </c>
      <c r="L200" s="15" t="s">
        <v>172</v>
      </c>
      <c r="M200" s="16">
        <v>13409.961685823753</v>
      </c>
      <c r="N200" s="16">
        <v>0</v>
      </c>
      <c r="O200" s="16">
        <f t="shared" si="8"/>
        <v>350000</v>
      </c>
      <c r="P200" s="14" t="s">
        <v>96</v>
      </c>
    </row>
    <row r="201" spans="1:16" x14ac:dyDescent="0.3">
      <c r="A201" s="8" t="s">
        <v>407</v>
      </c>
      <c r="B201" s="9" t="s">
        <v>419</v>
      </c>
      <c r="C201" s="10" t="s">
        <v>1224</v>
      </c>
      <c r="D201" s="11">
        <v>43929</v>
      </c>
      <c r="E201" s="11">
        <v>43929</v>
      </c>
      <c r="F201" s="31">
        <v>6799660</v>
      </c>
      <c r="G201" s="32">
        <v>0</v>
      </c>
      <c r="H201" s="8" t="s">
        <v>420</v>
      </c>
      <c r="I201" s="12">
        <v>810001350</v>
      </c>
      <c r="J201" s="13" t="s">
        <v>421</v>
      </c>
      <c r="K201" s="14">
        <v>2000</v>
      </c>
      <c r="L201" s="15" t="s">
        <v>250</v>
      </c>
      <c r="M201" s="16">
        <v>2857</v>
      </c>
      <c r="N201" s="16">
        <f t="shared" ref="N201:N217" si="9">M201*0.19</f>
        <v>542.83000000000004</v>
      </c>
      <c r="O201" s="16">
        <f t="shared" si="8"/>
        <v>6799660</v>
      </c>
      <c r="P201" s="14" t="s">
        <v>95</v>
      </c>
    </row>
    <row r="202" spans="1:16" x14ac:dyDescent="0.3">
      <c r="A202" s="8" t="s">
        <v>407</v>
      </c>
      <c r="B202" s="9" t="s">
        <v>422</v>
      </c>
      <c r="C202" s="10" t="s">
        <v>1225</v>
      </c>
      <c r="D202" s="11">
        <v>43929</v>
      </c>
      <c r="E202" s="11">
        <v>43929</v>
      </c>
      <c r="F202" s="31">
        <v>15232000</v>
      </c>
      <c r="G202" s="32">
        <v>0</v>
      </c>
      <c r="H202" s="8" t="s">
        <v>423</v>
      </c>
      <c r="I202" s="12">
        <v>24319928</v>
      </c>
      <c r="J202" s="13" t="s">
        <v>424</v>
      </c>
      <c r="K202" s="14">
        <v>2</v>
      </c>
      <c r="L202" s="15" t="s">
        <v>1288</v>
      </c>
      <c r="M202" s="16">
        <v>500000</v>
      </c>
      <c r="N202" s="16">
        <f t="shared" si="9"/>
        <v>95000</v>
      </c>
      <c r="O202" s="16">
        <f t="shared" si="8"/>
        <v>1190000</v>
      </c>
      <c r="P202" s="14" t="s">
        <v>425</v>
      </c>
    </row>
    <row r="203" spans="1:16" x14ac:dyDescent="0.3">
      <c r="A203" s="8" t="s">
        <v>407</v>
      </c>
      <c r="B203" s="9" t="s">
        <v>422</v>
      </c>
      <c r="C203" s="10" t="s">
        <v>1225</v>
      </c>
      <c r="D203" s="11">
        <v>43929</v>
      </c>
      <c r="E203" s="11">
        <v>43929</v>
      </c>
      <c r="F203" s="31">
        <v>15232000</v>
      </c>
      <c r="G203" s="32">
        <v>0</v>
      </c>
      <c r="H203" s="8" t="s">
        <v>423</v>
      </c>
      <c r="I203" s="12">
        <v>24319928</v>
      </c>
      <c r="J203" s="13" t="s">
        <v>426</v>
      </c>
      <c r="K203" s="14">
        <v>2</v>
      </c>
      <c r="L203" s="15" t="s">
        <v>1288</v>
      </c>
      <c r="M203" s="16">
        <v>600000</v>
      </c>
      <c r="N203" s="16">
        <f t="shared" si="9"/>
        <v>114000</v>
      </c>
      <c r="O203" s="16">
        <f t="shared" si="8"/>
        <v>1428000</v>
      </c>
      <c r="P203" s="14" t="s">
        <v>425</v>
      </c>
    </row>
    <row r="204" spans="1:16" x14ac:dyDescent="0.3">
      <c r="A204" s="8" t="s">
        <v>407</v>
      </c>
      <c r="B204" s="9" t="s">
        <v>422</v>
      </c>
      <c r="C204" s="10" t="s">
        <v>1225</v>
      </c>
      <c r="D204" s="11">
        <v>43929</v>
      </c>
      <c r="E204" s="11">
        <v>43929</v>
      </c>
      <c r="F204" s="31">
        <v>15232000</v>
      </c>
      <c r="G204" s="32">
        <v>0</v>
      </c>
      <c r="H204" s="8" t="s">
        <v>423</v>
      </c>
      <c r="I204" s="12">
        <v>24319928</v>
      </c>
      <c r="J204" s="13" t="s">
        <v>427</v>
      </c>
      <c r="K204" s="14">
        <v>2</v>
      </c>
      <c r="L204" s="15" t="s">
        <v>1288</v>
      </c>
      <c r="M204" s="16">
        <v>550000</v>
      </c>
      <c r="N204" s="16">
        <f t="shared" si="9"/>
        <v>104500</v>
      </c>
      <c r="O204" s="16">
        <f t="shared" si="8"/>
        <v>1309000</v>
      </c>
      <c r="P204" s="14" t="s">
        <v>425</v>
      </c>
    </row>
    <row r="205" spans="1:16" x14ac:dyDescent="0.3">
      <c r="A205" s="8" t="s">
        <v>407</v>
      </c>
      <c r="B205" s="9" t="s">
        <v>422</v>
      </c>
      <c r="C205" s="10" t="s">
        <v>1225</v>
      </c>
      <c r="D205" s="11">
        <v>43929</v>
      </c>
      <c r="E205" s="11">
        <v>43929</v>
      </c>
      <c r="F205" s="31">
        <v>15232000</v>
      </c>
      <c r="G205" s="32">
        <v>0</v>
      </c>
      <c r="H205" s="8" t="s">
        <v>423</v>
      </c>
      <c r="I205" s="12">
        <v>24319928</v>
      </c>
      <c r="J205" s="13" t="s">
        <v>428</v>
      </c>
      <c r="K205" s="14">
        <v>2</v>
      </c>
      <c r="L205" s="15" t="s">
        <v>1288</v>
      </c>
      <c r="M205" s="16">
        <v>650000</v>
      </c>
      <c r="N205" s="16">
        <f t="shared" si="9"/>
        <v>123500</v>
      </c>
      <c r="O205" s="16">
        <f t="shared" si="8"/>
        <v>1547000</v>
      </c>
      <c r="P205" s="14" t="s">
        <v>425</v>
      </c>
    </row>
    <row r="206" spans="1:16" x14ac:dyDescent="0.3">
      <c r="A206" s="8" t="s">
        <v>407</v>
      </c>
      <c r="B206" s="9" t="s">
        <v>422</v>
      </c>
      <c r="C206" s="10" t="s">
        <v>1225</v>
      </c>
      <c r="D206" s="11">
        <v>43929</v>
      </c>
      <c r="E206" s="11">
        <v>43929</v>
      </c>
      <c r="F206" s="31">
        <v>15232000</v>
      </c>
      <c r="G206" s="32">
        <v>0</v>
      </c>
      <c r="H206" s="8" t="s">
        <v>423</v>
      </c>
      <c r="I206" s="12">
        <v>24319928</v>
      </c>
      <c r="J206" s="13" t="s">
        <v>429</v>
      </c>
      <c r="K206" s="14">
        <v>2</v>
      </c>
      <c r="L206" s="15" t="s">
        <v>1288</v>
      </c>
      <c r="M206" s="16">
        <v>600000</v>
      </c>
      <c r="N206" s="16">
        <f t="shared" si="9"/>
        <v>114000</v>
      </c>
      <c r="O206" s="16">
        <f t="shared" si="8"/>
        <v>1428000</v>
      </c>
      <c r="P206" s="14" t="s">
        <v>425</v>
      </c>
    </row>
    <row r="207" spans="1:16" x14ac:dyDescent="0.3">
      <c r="A207" s="8" t="s">
        <v>407</v>
      </c>
      <c r="B207" s="9" t="s">
        <v>422</v>
      </c>
      <c r="C207" s="10" t="s">
        <v>1225</v>
      </c>
      <c r="D207" s="11">
        <v>43929</v>
      </c>
      <c r="E207" s="11">
        <v>43929</v>
      </c>
      <c r="F207" s="31">
        <v>15232000</v>
      </c>
      <c r="G207" s="32">
        <v>0</v>
      </c>
      <c r="H207" s="8" t="s">
        <v>423</v>
      </c>
      <c r="I207" s="12">
        <v>24319928</v>
      </c>
      <c r="J207" s="13" t="s">
        <v>430</v>
      </c>
      <c r="K207" s="14">
        <v>2</v>
      </c>
      <c r="L207" s="15" t="s">
        <v>1288</v>
      </c>
      <c r="M207" s="16">
        <v>550000</v>
      </c>
      <c r="N207" s="16">
        <f t="shared" si="9"/>
        <v>104500</v>
      </c>
      <c r="O207" s="16">
        <f t="shared" si="8"/>
        <v>1309000</v>
      </c>
      <c r="P207" s="14" t="s">
        <v>425</v>
      </c>
    </row>
    <row r="208" spans="1:16" x14ac:dyDescent="0.3">
      <c r="A208" s="8" t="s">
        <v>407</v>
      </c>
      <c r="B208" s="9" t="s">
        <v>422</v>
      </c>
      <c r="C208" s="10" t="s">
        <v>1225</v>
      </c>
      <c r="D208" s="11">
        <v>43929</v>
      </c>
      <c r="E208" s="11">
        <v>43929</v>
      </c>
      <c r="F208" s="31">
        <v>15232000</v>
      </c>
      <c r="G208" s="32">
        <v>0</v>
      </c>
      <c r="H208" s="8" t="s">
        <v>423</v>
      </c>
      <c r="I208" s="12">
        <v>24319928</v>
      </c>
      <c r="J208" s="13" t="s">
        <v>431</v>
      </c>
      <c r="K208" s="14">
        <v>2</v>
      </c>
      <c r="L208" s="15" t="s">
        <v>1288</v>
      </c>
      <c r="M208" s="16">
        <v>500000</v>
      </c>
      <c r="N208" s="16">
        <f t="shared" si="9"/>
        <v>95000</v>
      </c>
      <c r="O208" s="16">
        <f t="shared" si="8"/>
        <v>1190000</v>
      </c>
      <c r="P208" s="14" t="s">
        <v>425</v>
      </c>
    </row>
    <row r="209" spans="1:16" x14ac:dyDescent="0.3">
      <c r="A209" s="8" t="s">
        <v>407</v>
      </c>
      <c r="B209" s="9" t="s">
        <v>422</v>
      </c>
      <c r="C209" s="10" t="s">
        <v>1225</v>
      </c>
      <c r="D209" s="11">
        <v>43929</v>
      </c>
      <c r="E209" s="11">
        <v>43929</v>
      </c>
      <c r="F209" s="31">
        <v>15232000</v>
      </c>
      <c r="G209" s="32">
        <v>0</v>
      </c>
      <c r="H209" s="8" t="s">
        <v>423</v>
      </c>
      <c r="I209" s="12">
        <v>24319928</v>
      </c>
      <c r="J209" s="13" t="s">
        <v>432</v>
      </c>
      <c r="K209" s="14">
        <v>2</v>
      </c>
      <c r="L209" s="15" t="s">
        <v>1288</v>
      </c>
      <c r="M209" s="16">
        <v>500000</v>
      </c>
      <c r="N209" s="16">
        <f t="shared" si="9"/>
        <v>95000</v>
      </c>
      <c r="O209" s="16">
        <f t="shared" si="8"/>
        <v>1190000</v>
      </c>
      <c r="P209" s="14" t="s">
        <v>425</v>
      </c>
    </row>
    <row r="210" spans="1:16" x14ac:dyDescent="0.3">
      <c r="A210" s="8" t="s">
        <v>407</v>
      </c>
      <c r="B210" s="9" t="s">
        <v>422</v>
      </c>
      <c r="C210" s="10" t="s">
        <v>1225</v>
      </c>
      <c r="D210" s="11">
        <v>43929</v>
      </c>
      <c r="E210" s="11">
        <v>43929</v>
      </c>
      <c r="F210" s="31">
        <v>15232000</v>
      </c>
      <c r="G210" s="32">
        <v>0</v>
      </c>
      <c r="H210" s="8" t="s">
        <v>423</v>
      </c>
      <c r="I210" s="12">
        <v>24319928</v>
      </c>
      <c r="J210" s="13" t="s">
        <v>433</v>
      </c>
      <c r="K210" s="14">
        <v>2</v>
      </c>
      <c r="L210" s="15" t="s">
        <v>1288</v>
      </c>
      <c r="M210" s="16">
        <v>800000</v>
      </c>
      <c r="N210" s="16">
        <f t="shared" si="9"/>
        <v>152000</v>
      </c>
      <c r="O210" s="16">
        <f t="shared" si="8"/>
        <v>1904000</v>
      </c>
      <c r="P210" s="14" t="s">
        <v>425</v>
      </c>
    </row>
    <row r="211" spans="1:16" x14ac:dyDescent="0.3">
      <c r="A211" s="8" t="s">
        <v>407</v>
      </c>
      <c r="B211" s="9" t="s">
        <v>422</v>
      </c>
      <c r="C211" s="10" t="s">
        <v>1225</v>
      </c>
      <c r="D211" s="11">
        <v>43929</v>
      </c>
      <c r="E211" s="11">
        <v>43929</v>
      </c>
      <c r="F211" s="31">
        <v>15232000</v>
      </c>
      <c r="G211" s="32">
        <v>0</v>
      </c>
      <c r="H211" s="8" t="s">
        <v>423</v>
      </c>
      <c r="I211" s="12">
        <v>24319928</v>
      </c>
      <c r="J211" s="13" t="s">
        <v>434</v>
      </c>
      <c r="K211" s="14">
        <v>2</v>
      </c>
      <c r="L211" s="15" t="s">
        <v>1288</v>
      </c>
      <c r="M211" s="16">
        <v>650000</v>
      </c>
      <c r="N211" s="16">
        <f t="shared" si="9"/>
        <v>123500</v>
      </c>
      <c r="O211" s="16">
        <f t="shared" si="8"/>
        <v>1547000</v>
      </c>
      <c r="P211" s="14" t="s">
        <v>425</v>
      </c>
    </row>
    <row r="212" spans="1:16" x14ac:dyDescent="0.3">
      <c r="A212" s="8" t="s">
        <v>407</v>
      </c>
      <c r="B212" s="9" t="s">
        <v>422</v>
      </c>
      <c r="C212" s="10" t="s">
        <v>1225</v>
      </c>
      <c r="D212" s="11">
        <v>43929</v>
      </c>
      <c r="E212" s="11">
        <v>43929</v>
      </c>
      <c r="F212" s="31">
        <v>15232000</v>
      </c>
      <c r="G212" s="32">
        <v>0</v>
      </c>
      <c r="H212" s="8" t="s">
        <v>423</v>
      </c>
      <c r="I212" s="12">
        <v>24319928</v>
      </c>
      <c r="J212" s="13" t="s">
        <v>435</v>
      </c>
      <c r="K212" s="14">
        <v>2</v>
      </c>
      <c r="L212" s="15" t="s">
        <v>1288</v>
      </c>
      <c r="M212" s="16">
        <v>500000</v>
      </c>
      <c r="N212" s="16">
        <f t="shared" si="9"/>
        <v>95000</v>
      </c>
      <c r="O212" s="16">
        <f t="shared" si="8"/>
        <v>1190000</v>
      </c>
      <c r="P212" s="14" t="s">
        <v>425</v>
      </c>
    </row>
    <row r="213" spans="1:16" x14ac:dyDescent="0.3">
      <c r="A213" s="8" t="s">
        <v>407</v>
      </c>
      <c r="B213" s="9" t="s">
        <v>422</v>
      </c>
      <c r="C213" s="10" t="s">
        <v>1225</v>
      </c>
      <c r="D213" s="11">
        <v>43929</v>
      </c>
      <c r="E213" s="11">
        <v>43929</v>
      </c>
      <c r="F213" s="31">
        <v>15232000</v>
      </c>
      <c r="G213" s="32">
        <v>7616000</v>
      </c>
      <c r="H213" s="8" t="s">
        <v>423</v>
      </c>
      <c r="I213" s="12">
        <v>24319928</v>
      </c>
      <c r="J213" s="13" t="s">
        <v>436</v>
      </c>
      <c r="K213" s="14">
        <v>2</v>
      </c>
      <c r="L213" s="15" t="s">
        <v>1288</v>
      </c>
      <c r="M213" s="16">
        <v>650000</v>
      </c>
      <c r="N213" s="16">
        <f t="shared" si="9"/>
        <v>123500</v>
      </c>
      <c r="O213" s="16">
        <f t="shared" si="8"/>
        <v>1547000</v>
      </c>
      <c r="P213" s="14" t="s">
        <v>425</v>
      </c>
    </row>
    <row r="214" spans="1:16" x14ac:dyDescent="0.3">
      <c r="A214" s="8" t="s">
        <v>407</v>
      </c>
      <c r="B214" s="9" t="s">
        <v>422</v>
      </c>
      <c r="C214" s="10" t="s">
        <v>1225</v>
      </c>
      <c r="D214" s="11">
        <v>43929</v>
      </c>
      <c r="E214" s="11">
        <v>43929</v>
      </c>
      <c r="F214" s="31">
        <v>15232000</v>
      </c>
      <c r="G214" s="32">
        <v>7616000</v>
      </c>
      <c r="H214" s="8" t="s">
        <v>423</v>
      </c>
      <c r="I214" s="12">
        <v>24319928</v>
      </c>
      <c r="J214" s="13" t="s">
        <v>437</v>
      </c>
      <c r="K214" s="14">
        <v>2</v>
      </c>
      <c r="L214" s="15" t="s">
        <v>1288</v>
      </c>
      <c r="M214" s="16">
        <v>650000</v>
      </c>
      <c r="N214" s="16">
        <f t="shared" si="9"/>
        <v>123500</v>
      </c>
      <c r="O214" s="16">
        <f t="shared" si="8"/>
        <v>1547000</v>
      </c>
      <c r="P214" s="14" t="s">
        <v>425</v>
      </c>
    </row>
    <row r="215" spans="1:16" x14ac:dyDescent="0.3">
      <c r="A215" s="8" t="s">
        <v>407</v>
      </c>
      <c r="B215" s="9" t="s">
        <v>422</v>
      </c>
      <c r="C215" s="10" t="s">
        <v>1225</v>
      </c>
      <c r="D215" s="11">
        <v>43929</v>
      </c>
      <c r="E215" s="11">
        <v>43929</v>
      </c>
      <c r="F215" s="31">
        <v>15232000</v>
      </c>
      <c r="G215" s="32">
        <v>7616000</v>
      </c>
      <c r="H215" s="8" t="s">
        <v>423</v>
      </c>
      <c r="I215" s="12">
        <v>24319928</v>
      </c>
      <c r="J215" s="13" t="s">
        <v>438</v>
      </c>
      <c r="K215" s="14">
        <v>2</v>
      </c>
      <c r="L215" s="15" t="s">
        <v>1288</v>
      </c>
      <c r="M215" s="16">
        <v>500000</v>
      </c>
      <c r="N215" s="16">
        <f t="shared" si="9"/>
        <v>95000</v>
      </c>
      <c r="O215" s="16">
        <f t="shared" si="8"/>
        <v>1190000</v>
      </c>
      <c r="P215" s="14" t="s">
        <v>425</v>
      </c>
    </row>
    <row r="216" spans="1:16" x14ac:dyDescent="0.3">
      <c r="A216" s="8" t="s">
        <v>407</v>
      </c>
      <c r="B216" s="9" t="s">
        <v>422</v>
      </c>
      <c r="C216" s="10" t="s">
        <v>1225</v>
      </c>
      <c r="D216" s="11">
        <v>43929</v>
      </c>
      <c r="E216" s="11">
        <v>43929</v>
      </c>
      <c r="F216" s="31">
        <v>15232000</v>
      </c>
      <c r="G216" s="32">
        <v>7616000</v>
      </c>
      <c r="H216" s="8" t="s">
        <v>423</v>
      </c>
      <c r="I216" s="12">
        <v>24319928</v>
      </c>
      <c r="J216" s="13" t="s">
        <v>439</v>
      </c>
      <c r="K216" s="14">
        <v>2</v>
      </c>
      <c r="L216" s="15" t="s">
        <v>1288</v>
      </c>
      <c r="M216" s="16">
        <v>600000</v>
      </c>
      <c r="N216" s="16">
        <f t="shared" si="9"/>
        <v>114000</v>
      </c>
      <c r="O216" s="16">
        <f t="shared" si="8"/>
        <v>1428000</v>
      </c>
      <c r="P216" s="14" t="s">
        <v>425</v>
      </c>
    </row>
    <row r="217" spans="1:16" x14ac:dyDescent="0.3">
      <c r="A217" s="8" t="s">
        <v>407</v>
      </c>
      <c r="B217" s="9" t="s">
        <v>422</v>
      </c>
      <c r="C217" s="10" t="s">
        <v>1225</v>
      </c>
      <c r="D217" s="11">
        <v>43929</v>
      </c>
      <c r="E217" s="11">
        <v>43929</v>
      </c>
      <c r="F217" s="31">
        <v>15232000</v>
      </c>
      <c r="G217" s="32">
        <v>7616000</v>
      </c>
      <c r="H217" s="8" t="s">
        <v>423</v>
      </c>
      <c r="I217" s="12">
        <v>24319928</v>
      </c>
      <c r="J217" s="13" t="s">
        <v>440</v>
      </c>
      <c r="K217" s="14">
        <v>2</v>
      </c>
      <c r="L217" s="15" t="s">
        <v>1288</v>
      </c>
      <c r="M217" s="16">
        <v>800000</v>
      </c>
      <c r="N217" s="16">
        <f t="shared" si="9"/>
        <v>152000</v>
      </c>
      <c r="O217" s="16">
        <f t="shared" si="8"/>
        <v>1904000</v>
      </c>
      <c r="P217" s="14" t="s">
        <v>425</v>
      </c>
    </row>
    <row r="218" spans="1:16" x14ac:dyDescent="0.3">
      <c r="A218" s="8" t="s">
        <v>407</v>
      </c>
      <c r="B218" s="9" t="s">
        <v>441</v>
      </c>
      <c r="C218" s="10" t="s">
        <v>443</v>
      </c>
      <c r="D218" s="11">
        <v>43972</v>
      </c>
      <c r="E218" s="11">
        <v>43972</v>
      </c>
      <c r="F218" s="31">
        <v>1760000</v>
      </c>
      <c r="G218" s="32">
        <v>0</v>
      </c>
      <c r="H218" s="8" t="s">
        <v>442</v>
      </c>
      <c r="I218" s="12">
        <v>94409574</v>
      </c>
      <c r="J218" s="13" t="s">
        <v>443</v>
      </c>
      <c r="K218" s="14">
        <v>30</v>
      </c>
      <c r="L218" s="15" t="s">
        <v>531</v>
      </c>
      <c r="M218" s="16">
        <v>54000</v>
      </c>
      <c r="N218" s="16">
        <v>0</v>
      </c>
      <c r="O218" s="16">
        <f t="shared" si="8"/>
        <v>1620000</v>
      </c>
      <c r="P218" s="14" t="s">
        <v>444</v>
      </c>
    </row>
    <row r="219" spans="1:16" x14ac:dyDescent="0.3">
      <c r="A219" s="8" t="s">
        <v>407</v>
      </c>
      <c r="B219" s="9" t="s">
        <v>445</v>
      </c>
      <c r="C219" s="10" t="s">
        <v>447</v>
      </c>
      <c r="D219" s="11">
        <v>43978</v>
      </c>
      <c r="E219" s="11">
        <v>43978</v>
      </c>
      <c r="F219" s="31">
        <v>17372810</v>
      </c>
      <c r="G219" s="32">
        <v>0</v>
      </c>
      <c r="H219" s="8" t="s">
        <v>446</v>
      </c>
      <c r="I219" s="12">
        <v>900990752</v>
      </c>
      <c r="J219" s="13" t="s">
        <v>447</v>
      </c>
      <c r="K219" s="14">
        <v>13</v>
      </c>
      <c r="L219" s="15" t="s">
        <v>250</v>
      </c>
      <c r="M219" s="16">
        <v>1123000</v>
      </c>
      <c r="N219" s="16">
        <f>M219*0.19</f>
        <v>213370</v>
      </c>
      <c r="O219" s="16">
        <f t="shared" si="8"/>
        <v>17372810</v>
      </c>
      <c r="P219" s="14" t="s">
        <v>1274</v>
      </c>
    </row>
    <row r="220" spans="1:16" x14ac:dyDescent="0.3">
      <c r="A220" s="8" t="s">
        <v>407</v>
      </c>
      <c r="B220" s="9" t="s">
        <v>448</v>
      </c>
      <c r="C220" s="10" t="s">
        <v>449</v>
      </c>
      <c r="D220" s="11">
        <v>43983</v>
      </c>
      <c r="E220" s="11">
        <v>43983</v>
      </c>
      <c r="F220" s="31">
        <v>2900000</v>
      </c>
      <c r="G220" s="32">
        <v>0</v>
      </c>
      <c r="H220" s="8" t="s">
        <v>51</v>
      </c>
      <c r="I220" s="12">
        <v>830001338</v>
      </c>
      <c r="J220" s="13" t="s">
        <v>1465</v>
      </c>
      <c r="K220" s="24">
        <v>300</v>
      </c>
      <c r="L220" s="15" t="s">
        <v>172</v>
      </c>
      <c r="M220" s="16">
        <v>8666.6666666666661</v>
      </c>
      <c r="N220" s="16">
        <v>0</v>
      </c>
      <c r="O220" s="16">
        <f t="shared" si="8"/>
        <v>2600000</v>
      </c>
      <c r="P220" s="14" t="s">
        <v>96</v>
      </c>
    </row>
    <row r="221" spans="1:16" x14ac:dyDescent="0.3">
      <c r="A221" s="8" t="s">
        <v>407</v>
      </c>
      <c r="B221" s="9" t="s">
        <v>450</v>
      </c>
      <c r="C221" s="10" t="s">
        <v>451</v>
      </c>
      <c r="D221" s="11">
        <v>43983</v>
      </c>
      <c r="E221" s="11">
        <v>43983</v>
      </c>
      <c r="F221" s="31">
        <v>7650000</v>
      </c>
      <c r="G221" s="32">
        <v>0</v>
      </c>
      <c r="H221" s="8" t="s">
        <v>442</v>
      </c>
      <c r="I221" s="12">
        <v>94409574</v>
      </c>
      <c r="J221" s="13" t="s">
        <v>451</v>
      </c>
      <c r="K221" s="24">
        <v>500</v>
      </c>
      <c r="L221" s="15" t="s">
        <v>172</v>
      </c>
      <c r="M221" s="16">
        <v>12700</v>
      </c>
      <c r="N221" s="16">
        <v>0</v>
      </c>
      <c r="O221" s="16">
        <f t="shared" si="8"/>
        <v>6350000</v>
      </c>
      <c r="P221" s="14" t="s">
        <v>34</v>
      </c>
    </row>
    <row r="222" spans="1:16" x14ac:dyDescent="0.3">
      <c r="A222" s="8" t="s">
        <v>407</v>
      </c>
      <c r="B222" s="9" t="s">
        <v>452</v>
      </c>
      <c r="C222" s="10" t="s">
        <v>453</v>
      </c>
      <c r="D222" s="11">
        <v>43983</v>
      </c>
      <c r="E222" s="11">
        <v>43983</v>
      </c>
      <c r="F222" s="31">
        <v>12695000</v>
      </c>
      <c r="G222" s="32">
        <v>0</v>
      </c>
      <c r="H222" s="8" t="s">
        <v>188</v>
      </c>
      <c r="I222" s="12">
        <v>900353659</v>
      </c>
      <c r="J222" s="13" t="s">
        <v>453</v>
      </c>
      <c r="K222" s="14">
        <v>1000</v>
      </c>
      <c r="L222" s="15" t="s">
        <v>1369</v>
      </c>
      <c r="M222" s="20">
        <v>10500</v>
      </c>
      <c r="N222" s="16">
        <f>M222*0.19</f>
        <v>1995</v>
      </c>
      <c r="O222" s="16">
        <f t="shared" si="8"/>
        <v>12495000</v>
      </c>
      <c r="P222" s="14" t="s">
        <v>94</v>
      </c>
    </row>
    <row r="223" spans="1:16" x14ac:dyDescent="0.3">
      <c r="A223" s="8" t="s">
        <v>407</v>
      </c>
      <c r="B223" s="9" t="s">
        <v>454</v>
      </c>
      <c r="C223" s="10" t="s">
        <v>456</v>
      </c>
      <c r="D223" s="11">
        <v>43983</v>
      </c>
      <c r="E223" s="11">
        <v>43983</v>
      </c>
      <c r="F223" s="31">
        <v>0</v>
      </c>
      <c r="G223" s="32">
        <v>18340586</v>
      </c>
      <c r="H223" s="8" t="s">
        <v>455</v>
      </c>
      <c r="I223" s="12">
        <v>810001366</v>
      </c>
      <c r="J223" s="36" t="s">
        <v>1434</v>
      </c>
      <c r="K223" s="14">
        <v>2</v>
      </c>
      <c r="L223" s="15" t="s">
        <v>1281</v>
      </c>
      <c r="M223" s="16">
        <v>1834059</v>
      </c>
      <c r="N223" s="16">
        <v>0</v>
      </c>
      <c r="O223" s="16">
        <f>K223*(M223+N223)*5</f>
        <v>18340590</v>
      </c>
      <c r="P223" s="19" t="s">
        <v>1374</v>
      </c>
    </row>
    <row r="224" spans="1:16" x14ac:dyDescent="0.3">
      <c r="A224" s="8" t="s">
        <v>407</v>
      </c>
      <c r="B224" s="9" t="s">
        <v>454</v>
      </c>
      <c r="C224" s="10" t="s">
        <v>456</v>
      </c>
      <c r="D224" s="11">
        <v>43983</v>
      </c>
      <c r="E224" s="11">
        <v>43983</v>
      </c>
      <c r="F224" s="31">
        <v>0</v>
      </c>
      <c r="G224" s="32">
        <v>9480267</v>
      </c>
      <c r="H224" s="8" t="s">
        <v>455</v>
      </c>
      <c r="I224" s="12">
        <v>810001366</v>
      </c>
      <c r="J224" s="36" t="s">
        <v>1435</v>
      </c>
      <c r="K224" s="14">
        <v>1</v>
      </c>
      <c r="L224" s="15" t="s">
        <v>1281</v>
      </c>
      <c r="M224" s="16">
        <v>2106726</v>
      </c>
      <c r="N224" s="16">
        <v>0</v>
      </c>
      <c r="O224" s="16">
        <f>K224*(M224+N224)*4.5</f>
        <v>9480267</v>
      </c>
      <c r="P224" s="19" t="s">
        <v>1374</v>
      </c>
    </row>
    <row r="225" spans="1:17" x14ac:dyDescent="0.3">
      <c r="A225" s="8" t="s">
        <v>407</v>
      </c>
      <c r="B225" s="9" t="s">
        <v>454</v>
      </c>
      <c r="C225" s="10" t="s">
        <v>456</v>
      </c>
      <c r="D225" s="11">
        <v>43983</v>
      </c>
      <c r="E225" s="11">
        <v>43983</v>
      </c>
      <c r="F225" s="31">
        <v>0</v>
      </c>
      <c r="G225" s="32">
        <v>43843974</v>
      </c>
      <c r="H225" s="8" t="s">
        <v>455</v>
      </c>
      <c r="I225" s="12">
        <v>810001366</v>
      </c>
      <c r="J225" s="36" t="s">
        <v>1436</v>
      </c>
      <c r="K225" s="14">
        <v>20</v>
      </c>
      <c r="L225" s="15" t="s">
        <v>1281</v>
      </c>
      <c r="M225" s="16">
        <v>548050</v>
      </c>
      <c r="N225" s="16">
        <v>0</v>
      </c>
      <c r="O225" s="16">
        <f>K225*(M225+N225)*4</f>
        <v>43844000</v>
      </c>
      <c r="P225" s="19" t="s">
        <v>1374</v>
      </c>
    </row>
    <row r="226" spans="1:17" x14ac:dyDescent="0.3">
      <c r="A226" s="8" t="s">
        <v>407</v>
      </c>
      <c r="B226" s="9" t="s">
        <v>457</v>
      </c>
      <c r="C226" s="10" t="s">
        <v>459</v>
      </c>
      <c r="D226" s="11">
        <v>43987</v>
      </c>
      <c r="E226" s="11">
        <v>43987</v>
      </c>
      <c r="F226" s="31">
        <v>4002050</v>
      </c>
      <c r="G226" s="32">
        <v>0</v>
      </c>
      <c r="H226" s="8" t="s">
        <v>458</v>
      </c>
      <c r="I226" s="12">
        <v>9009069703</v>
      </c>
      <c r="J226" s="13" t="s">
        <v>459</v>
      </c>
      <c r="K226" s="14">
        <v>225</v>
      </c>
      <c r="L226" s="15" t="s">
        <v>556</v>
      </c>
      <c r="M226" s="16">
        <v>14200</v>
      </c>
      <c r="N226" s="16">
        <f>M226*0.19</f>
        <v>2698</v>
      </c>
      <c r="O226" s="16">
        <f t="shared" si="8"/>
        <v>3802050</v>
      </c>
      <c r="P226" s="14" t="s">
        <v>1280</v>
      </c>
    </row>
    <row r="227" spans="1:17" x14ac:dyDescent="0.3">
      <c r="A227" s="8" t="s">
        <v>407</v>
      </c>
      <c r="B227" s="9" t="s">
        <v>460</v>
      </c>
      <c r="C227" s="10" t="s">
        <v>462</v>
      </c>
      <c r="D227" s="11">
        <v>43987</v>
      </c>
      <c r="E227" s="11">
        <v>43987</v>
      </c>
      <c r="F227" s="31">
        <v>4010600</v>
      </c>
      <c r="G227" s="32">
        <v>0</v>
      </c>
      <c r="H227" s="8" t="s">
        <v>461</v>
      </c>
      <c r="I227" s="12">
        <v>900567130</v>
      </c>
      <c r="J227" s="13" t="s">
        <v>1480</v>
      </c>
      <c r="K227" s="14">
        <v>757</v>
      </c>
      <c r="L227" s="15" t="s">
        <v>172</v>
      </c>
      <c r="M227" s="16">
        <v>4333.6856010568035</v>
      </c>
      <c r="N227" s="16">
        <v>0</v>
      </c>
      <c r="O227" s="16">
        <f t="shared" si="8"/>
        <v>3280600.0000000005</v>
      </c>
      <c r="P227" s="14" t="s">
        <v>36</v>
      </c>
    </row>
    <row r="228" spans="1:17" x14ac:dyDescent="0.3">
      <c r="A228" s="8" t="s">
        <v>407</v>
      </c>
      <c r="B228" s="9" t="s">
        <v>463</v>
      </c>
      <c r="C228" s="10" t="s">
        <v>465</v>
      </c>
      <c r="D228" s="11">
        <v>43987</v>
      </c>
      <c r="E228" s="11">
        <v>43987</v>
      </c>
      <c r="F228" s="31">
        <v>4040000</v>
      </c>
      <c r="G228" s="32">
        <v>0</v>
      </c>
      <c r="H228" s="8" t="s">
        <v>464</v>
      </c>
      <c r="I228" s="12">
        <v>900350133</v>
      </c>
      <c r="J228" s="13" t="s">
        <v>1480</v>
      </c>
      <c r="K228" s="14">
        <v>150</v>
      </c>
      <c r="L228" s="15" t="s">
        <v>172</v>
      </c>
      <c r="M228" s="16">
        <f>12400*2</f>
        <v>24800</v>
      </c>
      <c r="N228" s="16">
        <v>0</v>
      </c>
      <c r="O228" s="16">
        <f t="shared" si="8"/>
        <v>3720000</v>
      </c>
      <c r="P228" s="14" t="s">
        <v>36</v>
      </c>
    </row>
    <row r="229" spans="1:17" x14ac:dyDescent="0.3">
      <c r="A229" s="8" t="s">
        <v>407</v>
      </c>
      <c r="B229" s="9" t="s">
        <v>466</v>
      </c>
      <c r="C229" s="10" t="s">
        <v>468</v>
      </c>
      <c r="D229" s="11">
        <v>43987</v>
      </c>
      <c r="E229" s="11">
        <v>43987</v>
      </c>
      <c r="F229" s="31">
        <v>3490500</v>
      </c>
      <c r="G229" s="32">
        <v>0</v>
      </c>
      <c r="H229" s="8" t="s">
        <v>467</v>
      </c>
      <c r="I229" s="12">
        <v>900791672</v>
      </c>
      <c r="J229" s="13" t="s">
        <v>468</v>
      </c>
      <c r="K229" s="14">
        <v>500</v>
      </c>
      <c r="L229" s="15" t="s">
        <v>1277</v>
      </c>
      <c r="M229" s="20">
        <v>4900</v>
      </c>
      <c r="N229" s="16">
        <f>M229*0.19</f>
        <v>931</v>
      </c>
      <c r="O229" s="16">
        <f t="shared" si="8"/>
        <v>2915500</v>
      </c>
      <c r="P229" s="14" t="s">
        <v>94</v>
      </c>
    </row>
    <row r="230" spans="1:17" x14ac:dyDescent="0.3">
      <c r="A230" s="8" t="s">
        <v>407</v>
      </c>
      <c r="B230" s="9" t="s">
        <v>469</v>
      </c>
      <c r="C230" s="10" t="s">
        <v>471</v>
      </c>
      <c r="D230" s="11">
        <v>43987</v>
      </c>
      <c r="E230" s="11">
        <v>43987</v>
      </c>
      <c r="F230" s="31">
        <v>8100000</v>
      </c>
      <c r="G230" s="32">
        <v>2600000</v>
      </c>
      <c r="H230" s="8" t="s">
        <v>470</v>
      </c>
      <c r="I230" s="12">
        <v>860062147</v>
      </c>
      <c r="J230" s="13" t="s">
        <v>471</v>
      </c>
      <c r="K230" s="14">
        <f>600+200</f>
        <v>800</v>
      </c>
      <c r="L230" s="15" t="s">
        <v>250</v>
      </c>
      <c r="M230" s="16">
        <v>13000</v>
      </c>
      <c r="N230" s="16">
        <v>0</v>
      </c>
      <c r="O230" s="16">
        <f t="shared" si="8"/>
        <v>10400000</v>
      </c>
      <c r="P230" s="14" t="s">
        <v>232</v>
      </c>
    </row>
    <row r="231" spans="1:17" x14ac:dyDescent="0.3">
      <c r="A231" s="8" t="s">
        <v>407</v>
      </c>
      <c r="B231" s="9" t="s">
        <v>472</v>
      </c>
      <c r="C231" s="10" t="s">
        <v>474</v>
      </c>
      <c r="D231" s="11">
        <v>43999</v>
      </c>
      <c r="E231" s="11">
        <v>44005</v>
      </c>
      <c r="F231" s="31">
        <v>66538000</v>
      </c>
      <c r="G231" s="32">
        <v>0</v>
      </c>
      <c r="H231" s="8" t="s">
        <v>473</v>
      </c>
      <c r="I231" s="12">
        <v>890801201</v>
      </c>
      <c r="J231" s="13" t="s">
        <v>1429</v>
      </c>
      <c r="K231" s="14">
        <v>10</v>
      </c>
      <c r="L231" s="15" t="s">
        <v>1281</v>
      </c>
      <c r="M231" s="16">
        <v>2217933</v>
      </c>
      <c r="N231" s="16">
        <v>0</v>
      </c>
      <c r="O231" s="16">
        <f>K231*(M231+N231)*3</f>
        <v>66537990</v>
      </c>
      <c r="P231" s="14" t="s">
        <v>1282</v>
      </c>
      <c r="Q231" s="26"/>
    </row>
    <row r="232" spans="1:17" x14ac:dyDescent="0.3">
      <c r="A232" s="8" t="s">
        <v>407</v>
      </c>
      <c r="B232" s="9" t="s">
        <v>475</v>
      </c>
      <c r="C232" s="10" t="s">
        <v>477</v>
      </c>
      <c r="D232" s="11">
        <v>44005</v>
      </c>
      <c r="E232" s="11">
        <v>44005</v>
      </c>
      <c r="F232" s="31">
        <v>16964640</v>
      </c>
      <c r="G232" s="32">
        <v>0</v>
      </c>
      <c r="H232" s="8" t="s">
        <v>476</v>
      </c>
      <c r="I232" s="12">
        <v>830037278</v>
      </c>
      <c r="J232" s="13" t="s">
        <v>1437</v>
      </c>
      <c r="K232" s="14">
        <v>33</v>
      </c>
      <c r="L232" s="15" t="s">
        <v>1284</v>
      </c>
      <c r="M232" s="16">
        <v>108000</v>
      </c>
      <c r="N232" s="16">
        <f>M232*0.19</f>
        <v>20520</v>
      </c>
      <c r="O232" s="16">
        <f>K232*(M232+N232)*4</f>
        <v>16964640</v>
      </c>
      <c r="P232" s="14" t="s">
        <v>118</v>
      </c>
    </row>
    <row r="233" spans="1:17" x14ac:dyDescent="0.3">
      <c r="A233" s="8" t="s">
        <v>407</v>
      </c>
      <c r="B233" s="9" t="s">
        <v>478</v>
      </c>
      <c r="C233" s="10" t="s">
        <v>480</v>
      </c>
      <c r="D233" s="11">
        <v>44012</v>
      </c>
      <c r="E233" s="11">
        <v>44012</v>
      </c>
      <c r="F233" s="31">
        <v>780000</v>
      </c>
      <c r="G233" s="32">
        <v>0</v>
      </c>
      <c r="H233" s="8" t="s">
        <v>479</v>
      </c>
      <c r="I233" s="12">
        <v>900724561</v>
      </c>
      <c r="J233" s="13" t="s">
        <v>480</v>
      </c>
      <c r="K233" s="14">
        <v>6</v>
      </c>
      <c r="L233" s="15" t="s">
        <v>250</v>
      </c>
      <c r="M233" s="16">
        <v>130000</v>
      </c>
      <c r="N233" s="16">
        <v>0</v>
      </c>
      <c r="O233" s="16">
        <f t="shared" si="8"/>
        <v>780000</v>
      </c>
      <c r="P233" s="14" t="s">
        <v>136</v>
      </c>
    </row>
    <row r="234" spans="1:17" x14ac:dyDescent="0.3">
      <c r="A234" s="8" t="s">
        <v>407</v>
      </c>
      <c r="B234" s="9" t="s">
        <v>481</v>
      </c>
      <c r="C234" s="10" t="s">
        <v>1226</v>
      </c>
      <c r="D234" s="11">
        <v>44018</v>
      </c>
      <c r="E234" s="11">
        <v>44020</v>
      </c>
      <c r="F234" s="31">
        <v>6257500</v>
      </c>
      <c r="G234" s="32">
        <v>0</v>
      </c>
      <c r="H234" s="8" t="s">
        <v>482</v>
      </c>
      <c r="I234" s="12">
        <v>80748897</v>
      </c>
      <c r="J234" s="13" t="s">
        <v>1381</v>
      </c>
      <c r="K234" s="14">
        <v>42</v>
      </c>
      <c r="L234" s="15" t="s">
        <v>250</v>
      </c>
      <c r="M234" s="16">
        <v>125000</v>
      </c>
      <c r="N234" s="16">
        <f>M234*0.19</f>
        <v>23750</v>
      </c>
      <c r="O234" s="16">
        <f t="shared" si="8"/>
        <v>6247500</v>
      </c>
      <c r="P234" s="14" t="s">
        <v>1383</v>
      </c>
    </row>
    <row r="235" spans="1:17" x14ac:dyDescent="0.3">
      <c r="A235" s="8" t="s">
        <v>407</v>
      </c>
      <c r="B235" s="9" t="s">
        <v>483</v>
      </c>
      <c r="C235" s="10" t="s">
        <v>1227</v>
      </c>
      <c r="D235" s="11">
        <v>44020</v>
      </c>
      <c r="E235" s="11">
        <v>44021</v>
      </c>
      <c r="F235" s="31">
        <v>4425000</v>
      </c>
      <c r="G235" s="32">
        <v>1500000</v>
      </c>
      <c r="H235" s="8" t="s">
        <v>484</v>
      </c>
      <c r="I235" s="12">
        <v>900829708</v>
      </c>
      <c r="J235" s="13" t="s">
        <v>43</v>
      </c>
      <c r="K235" s="14">
        <f>59+20*100</f>
        <v>2059</v>
      </c>
      <c r="L235" s="15" t="s">
        <v>250</v>
      </c>
      <c r="M235" s="16">
        <f>75000/100</f>
        <v>750</v>
      </c>
      <c r="N235" s="16">
        <v>0</v>
      </c>
      <c r="O235" s="16">
        <f t="shared" si="8"/>
        <v>1544250</v>
      </c>
      <c r="P235" s="14" t="s">
        <v>95</v>
      </c>
    </row>
    <row r="236" spans="1:17" x14ac:dyDescent="0.3">
      <c r="A236" s="8" t="s">
        <v>407</v>
      </c>
      <c r="B236" s="9" t="s">
        <v>485</v>
      </c>
      <c r="C236" s="10" t="s">
        <v>487</v>
      </c>
      <c r="D236" s="11">
        <v>44036</v>
      </c>
      <c r="E236" s="11">
        <v>44036</v>
      </c>
      <c r="F236" s="31">
        <v>8400000</v>
      </c>
      <c r="G236" s="32">
        <v>0</v>
      </c>
      <c r="H236" s="8" t="s">
        <v>486</v>
      </c>
      <c r="I236" s="12">
        <v>10003534</v>
      </c>
      <c r="J236" s="13" t="s">
        <v>1382</v>
      </c>
      <c r="K236" s="14">
        <v>100</v>
      </c>
      <c r="L236" s="15" t="s">
        <v>250</v>
      </c>
      <c r="M236" s="16">
        <v>72000</v>
      </c>
      <c r="N236" s="16">
        <v>0</v>
      </c>
      <c r="O236" s="16">
        <f t="shared" si="8"/>
        <v>7200000</v>
      </c>
      <c r="P236" s="14" t="s">
        <v>1383</v>
      </c>
    </row>
    <row r="237" spans="1:17" x14ac:dyDescent="0.3">
      <c r="A237" s="8" t="s">
        <v>407</v>
      </c>
      <c r="B237" s="9" t="s">
        <v>488</v>
      </c>
      <c r="C237" s="10" t="s">
        <v>489</v>
      </c>
      <c r="D237" s="11">
        <v>44046</v>
      </c>
      <c r="E237" s="11">
        <v>44046</v>
      </c>
      <c r="F237" s="31">
        <v>2310208</v>
      </c>
      <c r="G237" s="32">
        <v>0</v>
      </c>
      <c r="H237" s="8" t="s">
        <v>200</v>
      </c>
      <c r="I237" s="12">
        <v>830037946</v>
      </c>
      <c r="J237" s="13" t="s">
        <v>489</v>
      </c>
      <c r="K237" s="14">
        <v>32</v>
      </c>
      <c r="L237" s="15" t="s">
        <v>250</v>
      </c>
      <c r="M237" s="16">
        <v>72194</v>
      </c>
      <c r="N237" s="16">
        <v>0</v>
      </c>
      <c r="O237" s="16">
        <f t="shared" si="8"/>
        <v>2310208</v>
      </c>
      <c r="P237" s="14" t="s">
        <v>383</v>
      </c>
    </row>
    <row r="238" spans="1:17" x14ac:dyDescent="0.3">
      <c r="A238" s="8" t="s">
        <v>490</v>
      </c>
      <c r="B238" s="9" t="s">
        <v>491</v>
      </c>
      <c r="C238" s="10" t="s">
        <v>492</v>
      </c>
      <c r="D238" s="11">
        <v>43959</v>
      </c>
      <c r="E238" s="11">
        <v>43963</v>
      </c>
      <c r="F238" s="31">
        <v>0</v>
      </c>
      <c r="G238" s="32">
        <v>20220000</v>
      </c>
      <c r="H238" s="8" t="s">
        <v>493</v>
      </c>
      <c r="I238" s="12">
        <v>900429897</v>
      </c>
      <c r="J238" s="13" t="s">
        <v>494</v>
      </c>
      <c r="K238" s="24">
        <v>1200</v>
      </c>
      <c r="L238" s="15" t="s">
        <v>172</v>
      </c>
      <c r="M238" s="16">
        <v>16850</v>
      </c>
      <c r="N238" s="16">
        <v>0</v>
      </c>
      <c r="O238" s="16">
        <f t="shared" si="8"/>
        <v>20220000</v>
      </c>
      <c r="P238" s="14" t="s">
        <v>34</v>
      </c>
    </row>
    <row r="239" spans="1:17" x14ac:dyDescent="0.3">
      <c r="A239" s="8" t="s">
        <v>490</v>
      </c>
      <c r="B239" s="9" t="s">
        <v>495</v>
      </c>
      <c r="C239" s="10" t="s">
        <v>496</v>
      </c>
      <c r="D239" s="11">
        <v>43971</v>
      </c>
      <c r="E239" s="11">
        <v>43972</v>
      </c>
      <c r="F239" s="31">
        <v>202984642</v>
      </c>
      <c r="G239" s="32">
        <v>0</v>
      </c>
      <c r="H239" s="8" t="s">
        <v>497</v>
      </c>
      <c r="I239" s="12">
        <v>800004711</v>
      </c>
      <c r="J239" s="13" t="s">
        <v>498</v>
      </c>
      <c r="K239" s="14">
        <f>1858*6</f>
        <v>11148</v>
      </c>
      <c r="L239" s="15" t="s">
        <v>1369</v>
      </c>
      <c r="M239" s="16">
        <f>91806/6</f>
        <v>15301</v>
      </c>
      <c r="N239" s="16">
        <f>M239*0.19</f>
        <v>2907.19</v>
      </c>
      <c r="O239" s="16">
        <f t="shared" si="8"/>
        <v>202984902.11999997</v>
      </c>
      <c r="P239" s="14" t="s">
        <v>94</v>
      </c>
    </row>
    <row r="240" spans="1:17" x14ac:dyDescent="0.3">
      <c r="A240" s="8" t="s">
        <v>490</v>
      </c>
      <c r="B240" s="9" t="s">
        <v>499</v>
      </c>
      <c r="C240" s="10" t="s">
        <v>500</v>
      </c>
      <c r="D240" s="11">
        <v>43958</v>
      </c>
      <c r="E240" s="11">
        <v>43962</v>
      </c>
      <c r="F240" s="31">
        <v>0</v>
      </c>
      <c r="G240" s="32">
        <v>11965845</v>
      </c>
      <c r="H240" s="8" t="s">
        <v>501</v>
      </c>
      <c r="I240" s="12">
        <v>800147520</v>
      </c>
      <c r="J240" s="13" t="s">
        <v>502</v>
      </c>
      <c r="K240" s="14">
        <v>38</v>
      </c>
      <c r="L240" s="15" t="s">
        <v>250</v>
      </c>
      <c r="M240" s="16">
        <v>300000</v>
      </c>
      <c r="N240" s="16">
        <v>0</v>
      </c>
      <c r="O240" s="16">
        <f t="shared" si="8"/>
        <v>11400000</v>
      </c>
      <c r="P240" s="14" t="s">
        <v>136</v>
      </c>
    </row>
    <row r="241" spans="1:16" x14ac:dyDescent="0.3">
      <c r="A241" s="8" t="s">
        <v>490</v>
      </c>
      <c r="B241" s="9" t="s">
        <v>499</v>
      </c>
      <c r="C241" s="10" t="s">
        <v>500</v>
      </c>
      <c r="D241" s="11">
        <v>43958</v>
      </c>
      <c r="E241" s="11">
        <v>43962</v>
      </c>
      <c r="F241" s="31">
        <v>0</v>
      </c>
      <c r="G241" s="32">
        <v>11965845</v>
      </c>
      <c r="H241" s="8" t="s">
        <v>501</v>
      </c>
      <c r="I241" s="12">
        <v>800147520</v>
      </c>
      <c r="J241" s="13" t="s">
        <v>503</v>
      </c>
      <c r="K241" s="14">
        <v>317</v>
      </c>
      <c r="L241" s="15" t="s">
        <v>250</v>
      </c>
      <c r="M241" s="16">
        <v>1500</v>
      </c>
      <c r="N241" s="16">
        <f>M241*0.19</f>
        <v>285</v>
      </c>
      <c r="O241" s="16">
        <f t="shared" si="8"/>
        <v>565845</v>
      </c>
      <c r="P241" s="14" t="s">
        <v>202</v>
      </c>
    </row>
    <row r="242" spans="1:16" x14ac:dyDescent="0.3">
      <c r="A242" s="8" t="s">
        <v>490</v>
      </c>
      <c r="B242" s="9" t="s">
        <v>504</v>
      </c>
      <c r="C242" s="10" t="s">
        <v>505</v>
      </c>
      <c r="D242" s="11">
        <v>43994</v>
      </c>
      <c r="E242" s="11">
        <v>43998</v>
      </c>
      <c r="F242" s="31">
        <v>36000000</v>
      </c>
      <c r="G242" s="32">
        <v>0</v>
      </c>
      <c r="H242" s="8" t="s">
        <v>506</v>
      </c>
      <c r="I242" s="12">
        <v>900673010</v>
      </c>
      <c r="J242" s="13" t="s">
        <v>507</v>
      </c>
      <c r="K242" s="14">
        <v>4000</v>
      </c>
      <c r="L242" s="15" t="s">
        <v>250</v>
      </c>
      <c r="M242" s="16">
        <v>9000</v>
      </c>
      <c r="N242" s="16">
        <v>0</v>
      </c>
      <c r="O242" s="16">
        <f t="shared" si="8"/>
        <v>36000000</v>
      </c>
      <c r="P242" s="14" t="s">
        <v>232</v>
      </c>
    </row>
    <row r="243" spans="1:16" x14ac:dyDescent="0.3">
      <c r="A243" s="8" t="s">
        <v>490</v>
      </c>
      <c r="B243" s="9" t="s">
        <v>508</v>
      </c>
      <c r="C243" s="10" t="s">
        <v>509</v>
      </c>
      <c r="D243" s="11">
        <v>43994</v>
      </c>
      <c r="E243" s="11">
        <v>43998</v>
      </c>
      <c r="F243" s="31">
        <v>24617210</v>
      </c>
      <c r="G243" s="32">
        <v>0</v>
      </c>
      <c r="H243" s="8" t="s">
        <v>510</v>
      </c>
      <c r="I243" s="12">
        <v>811036638</v>
      </c>
      <c r="J243" s="13" t="s">
        <v>511</v>
      </c>
      <c r="K243" s="14">
        <v>330</v>
      </c>
      <c r="L243" s="15" t="s">
        <v>250</v>
      </c>
      <c r="M243" s="16">
        <v>7022</v>
      </c>
      <c r="N243" s="16">
        <f t="shared" ref="N243:N258" si="10">M243*0.19</f>
        <v>1334.18</v>
      </c>
      <c r="O243" s="16">
        <f t="shared" si="8"/>
        <v>2757539.4</v>
      </c>
      <c r="P243" s="14" t="s">
        <v>237</v>
      </c>
    </row>
    <row r="244" spans="1:16" x14ac:dyDescent="0.3">
      <c r="A244" s="8" t="s">
        <v>490</v>
      </c>
      <c r="B244" s="9" t="s">
        <v>508</v>
      </c>
      <c r="C244" s="10" t="s">
        <v>509</v>
      </c>
      <c r="D244" s="11">
        <v>43994</v>
      </c>
      <c r="E244" s="11">
        <v>43998</v>
      </c>
      <c r="F244" s="31">
        <v>24617210</v>
      </c>
      <c r="G244" s="32">
        <v>0</v>
      </c>
      <c r="H244" s="8" t="s">
        <v>510</v>
      </c>
      <c r="I244" s="12">
        <v>811036638</v>
      </c>
      <c r="J244" s="13" t="s">
        <v>512</v>
      </c>
      <c r="K244" s="14">
        <v>330</v>
      </c>
      <c r="L244" s="15" t="s">
        <v>250</v>
      </c>
      <c r="M244" s="16">
        <v>3634</v>
      </c>
      <c r="N244" s="16">
        <f t="shared" si="10"/>
        <v>690.46</v>
      </c>
      <c r="O244" s="16">
        <f t="shared" si="8"/>
        <v>1427071.8</v>
      </c>
      <c r="P244" s="14" t="s">
        <v>237</v>
      </c>
    </row>
    <row r="245" spans="1:16" x14ac:dyDescent="0.3">
      <c r="A245" s="8" t="s">
        <v>490</v>
      </c>
      <c r="B245" s="9" t="s">
        <v>508</v>
      </c>
      <c r="C245" s="10" t="s">
        <v>509</v>
      </c>
      <c r="D245" s="11">
        <v>43994</v>
      </c>
      <c r="E245" s="11">
        <v>43998</v>
      </c>
      <c r="F245" s="31">
        <v>24617210</v>
      </c>
      <c r="G245" s="32">
        <v>0</v>
      </c>
      <c r="H245" s="8" t="s">
        <v>510</v>
      </c>
      <c r="I245" s="12">
        <v>811036638</v>
      </c>
      <c r="J245" s="13" t="s">
        <v>513</v>
      </c>
      <c r="K245" s="14">
        <v>320</v>
      </c>
      <c r="L245" s="15" t="s">
        <v>250</v>
      </c>
      <c r="M245" s="16">
        <v>3634</v>
      </c>
      <c r="N245" s="16">
        <f t="shared" si="10"/>
        <v>690.46</v>
      </c>
      <c r="O245" s="16">
        <f t="shared" si="8"/>
        <v>1383827.2</v>
      </c>
      <c r="P245" s="14" t="s">
        <v>237</v>
      </c>
    </row>
    <row r="246" spans="1:16" x14ac:dyDescent="0.3">
      <c r="A246" s="8" t="s">
        <v>490</v>
      </c>
      <c r="B246" s="9" t="s">
        <v>508</v>
      </c>
      <c r="C246" s="10" t="s">
        <v>509</v>
      </c>
      <c r="D246" s="11">
        <v>43994</v>
      </c>
      <c r="E246" s="11">
        <v>43998</v>
      </c>
      <c r="F246" s="31">
        <v>24617210</v>
      </c>
      <c r="G246" s="32">
        <v>0</v>
      </c>
      <c r="H246" s="8" t="s">
        <v>510</v>
      </c>
      <c r="I246" s="12">
        <v>811036638</v>
      </c>
      <c r="J246" s="13" t="s">
        <v>514</v>
      </c>
      <c r="K246" s="14">
        <v>320</v>
      </c>
      <c r="L246" s="15" t="s">
        <v>250</v>
      </c>
      <c r="M246" s="16">
        <v>3634</v>
      </c>
      <c r="N246" s="16">
        <f t="shared" si="10"/>
        <v>690.46</v>
      </c>
      <c r="O246" s="16">
        <f t="shared" si="8"/>
        <v>1383827.2</v>
      </c>
      <c r="P246" s="14" t="s">
        <v>237</v>
      </c>
    </row>
    <row r="247" spans="1:16" x14ac:dyDescent="0.3">
      <c r="A247" s="8" t="s">
        <v>490</v>
      </c>
      <c r="B247" s="9" t="s">
        <v>508</v>
      </c>
      <c r="C247" s="10" t="s">
        <v>509</v>
      </c>
      <c r="D247" s="11">
        <v>43994</v>
      </c>
      <c r="E247" s="11">
        <v>43998</v>
      </c>
      <c r="F247" s="31">
        <v>24617210</v>
      </c>
      <c r="G247" s="32">
        <v>0</v>
      </c>
      <c r="H247" s="8" t="s">
        <v>510</v>
      </c>
      <c r="I247" s="12">
        <v>811036638</v>
      </c>
      <c r="J247" s="13" t="s">
        <v>515</v>
      </c>
      <c r="K247" s="14">
        <v>320</v>
      </c>
      <c r="L247" s="15" t="s">
        <v>250</v>
      </c>
      <c r="M247" s="16">
        <v>3634</v>
      </c>
      <c r="N247" s="16">
        <f t="shared" si="10"/>
        <v>690.46</v>
      </c>
      <c r="O247" s="16">
        <f t="shared" si="8"/>
        <v>1383827.2</v>
      </c>
      <c r="P247" s="14" t="s">
        <v>237</v>
      </c>
    </row>
    <row r="248" spans="1:16" x14ac:dyDescent="0.3">
      <c r="A248" s="8" t="s">
        <v>490</v>
      </c>
      <c r="B248" s="9" t="s">
        <v>508</v>
      </c>
      <c r="C248" s="10" t="s">
        <v>509</v>
      </c>
      <c r="D248" s="11">
        <v>43994</v>
      </c>
      <c r="E248" s="11">
        <v>43998</v>
      </c>
      <c r="F248" s="31">
        <v>24617210</v>
      </c>
      <c r="G248" s="32">
        <v>0</v>
      </c>
      <c r="H248" s="8" t="s">
        <v>510</v>
      </c>
      <c r="I248" s="12">
        <v>811036638</v>
      </c>
      <c r="J248" s="13" t="s">
        <v>516</v>
      </c>
      <c r="K248" s="14">
        <v>320</v>
      </c>
      <c r="L248" s="15" t="s">
        <v>250</v>
      </c>
      <c r="M248" s="16">
        <v>3634</v>
      </c>
      <c r="N248" s="16">
        <f t="shared" si="10"/>
        <v>690.46</v>
      </c>
      <c r="O248" s="16">
        <f t="shared" si="8"/>
        <v>1383827.2</v>
      </c>
      <c r="P248" s="14" t="s">
        <v>237</v>
      </c>
    </row>
    <row r="249" spans="1:16" x14ac:dyDescent="0.3">
      <c r="A249" s="8" t="s">
        <v>490</v>
      </c>
      <c r="B249" s="9" t="s">
        <v>508</v>
      </c>
      <c r="C249" s="10" t="s">
        <v>509</v>
      </c>
      <c r="D249" s="11">
        <v>43994</v>
      </c>
      <c r="E249" s="11">
        <v>43998</v>
      </c>
      <c r="F249" s="31">
        <v>24617210</v>
      </c>
      <c r="G249" s="32">
        <v>0</v>
      </c>
      <c r="H249" s="8" t="s">
        <v>510</v>
      </c>
      <c r="I249" s="12">
        <v>811036638</v>
      </c>
      <c r="J249" s="13" t="s">
        <v>517</v>
      </c>
      <c r="K249" s="14">
        <v>320</v>
      </c>
      <c r="L249" s="15" t="s">
        <v>250</v>
      </c>
      <c r="M249" s="16">
        <v>3634</v>
      </c>
      <c r="N249" s="16">
        <f t="shared" si="10"/>
        <v>690.46</v>
      </c>
      <c r="O249" s="16">
        <f t="shared" si="8"/>
        <v>1383827.2</v>
      </c>
      <c r="P249" s="14" t="s">
        <v>237</v>
      </c>
    </row>
    <row r="250" spans="1:16" x14ac:dyDescent="0.3">
      <c r="A250" s="8" t="s">
        <v>490</v>
      </c>
      <c r="B250" s="9" t="s">
        <v>508</v>
      </c>
      <c r="C250" s="10" t="s">
        <v>509</v>
      </c>
      <c r="D250" s="11">
        <v>43994</v>
      </c>
      <c r="E250" s="11">
        <v>43998</v>
      </c>
      <c r="F250" s="31">
        <v>24617210</v>
      </c>
      <c r="G250" s="32">
        <v>0</v>
      </c>
      <c r="H250" s="8" t="s">
        <v>510</v>
      </c>
      <c r="I250" s="12">
        <v>811036638</v>
      </c>
      <c r="J250" s="13" t="s">
        <v>518</v>
      </c>
      <c r="K250" s="14">
        <v>320</v>
      </c>
      <c r="L250" s="15" t="s">
        <v>250</v>
      </c>
      <c r="M250" s="16">
        <v>3634</v>
      </c>
      <c r="N250" s="16">
        <f t="shared" si="10"/>
        <v>690.46</v>
      </c>
      <c r="O250" s="16">
        <f t="shared" si="8"/>
        <v>1383827.2</v>
      </c>
      <c r="P250" s="14" t="s">
        <v>237</v>
      </c>
    </row>
    <row r="251" spans="1:16" x14ac:dyDescent="0.3">
      <c r="A251" s="8" t="s">
        <v>490</v>
      </c>
      <c r="B251" s="9" t="s">
        <v>508</v>
      </c>
      <c r="C251" s="10" t="s">
        <v>509</v>
      </c>
      <c r="D251" s="11">
        <v>43994</v>
      </c>
      <c r="E251" s="11">
        <v>43998</v>
      </c>
      <c r="F251" s="31">
        <v>24617210</v>
      </c>
      <c r="G251" s="32">
        <v>0</v>
      </c>
      <c r="H251" s="8" t="s">
        <v>510</v>
      </c>
      <c r="I251" s="12">
        <v>811036638</v>
      </c>
      <c r="J251" s="13" t="s">
        <v>519</v>
      </c>
      <c r="K251" s="14">
        <v>320</v>
      </c>
      <c r="L251" s="15" t="s">
        <v>250</v>
      </c>
      <c r="M251" s="16">
        <v>3634</v>
      </c>
      <c r="N251" s="16">
        <f t="shared" si="10"/>
        <v>690.46</v>
      </c>
      <c r="O251" s="16">
        <f t="shared" si="8"/>
        <v>1383827.2</v>
      </c>
      <c r="P251" s="14" t="s">
        <v>237</v>
      </c>
    </row>
    <row r="252" spans="1:16" x14ac:dyDescent="0.3">
      <c r="A252" s="8" t="s">
        <v>490</v>
      </c>
      <c r="B252" s="9" t="s">
        <v>508</v>
      </c>
      <c r="C252" s="10" t="s">
        <v>509</v>
      </c>
      <c r="D252" s="11">
        <v>43994</v>
      </c>
      <c r="E252" s="11">
        <v>43998</v>
      </c>
      <c r="F252" s="31">
        <v>24617210</v>
      </c>
      <c r="G252" s="32">
        <v>0</v>
      </c>
      <c r="H252" s="8" t="s">
        <v>510</v>
      </c>
      <c r="I252" s="12">
        <v>811036638</v>
      </c>
      <c r="J252" s="13" t="s">
        <v>520</v>
      </c>
      <c r="K252" s="14">
        <v>1500</v>
      </c>
      <c r="L252" s="15" t="s">
        <v>250</v>
      </c>
      <c r="M252" s="16">
        <v>4125</v>
      </c>
      <c r="N252" s="16">
        <f t="shared" si="10"/>
        <v>783.75</v>
      </c>
      <c r="O252" s="16">
        <f t="shared" si="8"/>
        <v>7363125</v>
      </c>
      <c r="P252" s="14" t="s">
        <v>237</v>
      </c>
    </row>
    <row r="253" spans="1:16" x14ac:dyDescent="0.3">
      <c r="A253" s="8" t="s">
        <v>490</v>
      </c>
      <c r="B253" s="9" t="s">
        <v>508</v>
      </c>
      <c r="C253" s="10" t="s">
        <v>509</v>
      </c>
      <c r="D253" s="11">
        <v>43994</v>
      </c>
      <c r="E253" s="11">
        <v>43998</v>
      </c>
      <c r="F253" s="31">
        <v>24617210</v>
      </c>
      <c r="G253" s="32">
        <v>0</v>
      </c>
      <c r="H253" s="8" t="s">
        <v>510</v>
      </c>
      <c r="I253" s="12">
        <v>811036638</v>
      </c>
      <c r="J253" s="13" t="s">
        <v>521</v>
      </c>
      <c r="K253" s="14">
        <v>48</v>
      </c>
      <c r="L253" s="15" t="s">
        <v>250</v>
      </c>
      <c r="M253" s="16">
        <v>4950</v>
      </c>
      <c r="N253" s="16">
        <f t="shared" si="10"/>
        <v>940.5</v>
      </c>
      <c r="O253" s="16">
        <f t="shared" si="8"/>
        <v>282744</v>
      </c>
      <c r="P253" s="14" t="s">
        <v>237</v>
      </c>
    </row>
    <row r="254" spans="1:16" x14ac:dyDescent="0.3">
      <c r="A254" s="8" t="s">
        <v>490</v>
      </c>
      <c r="B254" s="9" t="s">
        <v>508</v>
      </c>
      <c r="C254" s="10" t="s">
        <v>509</v>
      </c>
      <c r="D254" s="11">
        <v>43994</v>
      </c>
      <c r="E254" s="11">
        <v>43998</v>
      </c>
      <c r="F254" s="31">
        <v>24617210</v>
      </c>
      <c r="G254" s="32">
        <v>0</v>
      </c>
      <c r="H254" s="8" t="s">
        <v>510</v>
      </c>
      <c r="I254" s="12">
        <v>811036638</v>
      </c>
      <c r="J254" s="13" t="s">
        <v>522</v>
      </c>
      <c r="K254" s="14">
        <v>3</v>
      </c>
      <c r="L254" s="15" t="s">
        <v>1288</v>
      </c>
      <c r="M254" s="16">
        <v>245000</v>
      </c>
      <c r="N254" s="16">
        <f t="shared" si="10"/>
        <v>46550</v>
      </c>
      <c r="O254" s="16">
        <f t="shared" si="8"/>
        <v>874650</v>
      </c>
      <c r="P254" s="14" t="s">
        <v>523</v>
      </c>
    </row>
    <row r="255" spans="1:16" x14ac:dyDescent="0.3">
      <c r="A255" s="8" t="s">
        <v>490</v>
      </c>
      <c r="B255" s="9" t="s">
        <v>508</v>
      </c>
      <c r="C255" s="10" t="s">
        <v>509</v>
      </c>
      <c r="D255" s="11">
        <v>43994</v>
      </c>
      <c r="E255" s="11">
        <v>43998</v>
      </c>
      <c r="F255" s="31">
        <v>24617210</v>
      </c>
      <c r="G255" s="32">
        <v>0</v>
      </c>
      <c r="H255" s="8" t="s">
        <v>510</v>
      </c>
      <c r="I255" s="12">
        <v>811036638</v>
      </c>
      <c r="J255" s="13" t="s">
        <v>524</v>
      </c>
      <c r="K255" s="14">
        <v>7</v>
      </c>
      <c r="L255" s="15" t="s">
        <v>1288</v>
      </c>
      <c r="M255" s="16">
        <v>220000</v>
      </c>
      <c r="N255" s="16">
        <f t="shared" si="10"/>
        <v>41800</v>
      </c>
      <c r="O255" s="16">
        <f t="shared" ref="O255:O318" si="11">K255*(M255+N255)</f>
        <v>1832600</v>
      </c>
      <c r="P255" s="14" t="s">
        <v>523</v>
      </c>
    </row>
    <row r="256" spans="1:16" x14ac:dyDescent="0.3">
      <c r="A256" s="8" t="s">
        <v>490</v>
      </c>
      <c r="B256" s="9" t="s">
        <v>508</v>
      </c>
      <c r="C256" s="10" t="s">
        <v>509</v>
      </c>
      <c r="D256" s="11">
        <v>43994</v>
      </c>
      <c r="E256" s="11">
        <v>43998</v>
      </c>
      <c r="F256" s="31">
        <v>24617210</v>
      </c>
      <c r="G256" s="32">
        <v>0</v>
      </c>
      <c r="H256" s="8" t="s">
        <v>510</v>
      </c>
      <c r="I256" s="12">
        <v>811036638</v>
      </c>
      <c r="J256" s="13" t="s">
        <v>525</v>
      </c>
      <c r="K256" s="14">
        <v>1</v>
      </c>
      <c r="L256" s="15" t="s">
        <v>1288</v>
      </c>
      <c r="M256" s="16">
        <v>332000</v>
      </c>
      <c r="N256" s="16">
        <f t="shared" si="10"/>
        <v>63080</v>
      </c>
      <c r="O256" s="16">
        <f t="shared" si="11"/>
        <v>395080</v>
      </c>
      <c r="P256" s="14" t="s">
        <v>523</v>
      </c>
    </row>
    <row r="257" spans="1:16" x14ac:dyDescent="0.3">
      <c r="A257" s="8" t="s">
        <v>490</v>
      </c>
      <c r="B257" s="9" t="s">
        <v>526</v>
      </c>
      <c r="C257" s="10" t="s">
        <v>527</v>
      </c>
      <c r="D257" s="11">
        <v>43920</v>
      </c>
      <c r="E257" s="11">
        <v>43920</v>
      </c>
      <c r="F257" s="31">
        <v>26983488</v>
      </c>
      <c r="G257" s="32">
        <v>0</v>
      </c>
      <c r="H257" s="8" t="s">
        <v>528</v>
      </c>
      <c r="I257" s="12">
        <v>900727931</v>
      </c>
      <c r="J257" s="13" t="s">
        <v>529</v>
      </c>
      <c r="K257" s="14">
        <v>10000</v>
      </c>
      <c r="L257" s="15" t="s">
        <v>250</v>
      </c>
      <c r="M257" s="16">
        <v>1850</v>
      </c>
      <c r="N257" s="16">
        <f t="shared" si="10"/>
        <v>351.5</v>
      </c>
      <c r="O257" s="16">
        <f t="shared" si="11"/>
        <v>22015000</v>
      </c>
      <c r="P257" s="14" t="s">
        <v>95</v>
      </c>
    </row>
    <row r="258" spans="1:16" x14ac:dyDescent="0.3">
      <c r="A258" s="8" t="s">
        <v>490</v>
      </c>
      <c r="B258" s="9" t="s">
        <v>526</v>
      </c>
      <c r="C258" s="10" t="s">
        <v>527</v>
      </c>
      <c r="D258" s="11">
        <v>43920</v>
      </c>
      <c r="E258" s="11">
        <v>43920</v>
      </c>
      <c r="F258" s="31">
        <v>26983488</v>
      </c>
      <c r="G258" s="32">
        <v>0</v>
      </c>
      <c r="H258" s="8" t="s">
        <v>528</v>
      </c>
      <c r="I258" s="12">
        <v>900727931</v>
      </c>
      <c r="J258" s="13" t="s">
        <v>530</v>
      </c>
      <c r="K258" s="14">
        <v>307</v>
      </c>
      <c r="L258" s="15" t="s">
        <v>531</v>
      </c>
      <c r="M258" s="16">
        <v>13600</v>
      </c>
      <c r="N258" s="16">
        <f t="shared" si="10"/>
        <v>2584</v>
      </c>
      <c r="O258" s="16">
        <f t="shared" si="11"/>
        <v>4968488</v>
      </c>
      <c r="P258" s="14" t="s">
        <v>23</v>
      </c>
    </row>
    <row r="259" spans="1:16" x14ac:dyDescent="0.3">
      <c r="A259" s="8" t="s">
        <v>490</v>
      </c>
      <c r="B259" s="9" t="s">
        <v>532</v>
      </c>
      <c r="C259" s="10" t="s">
        <v>527</v>
      </c>
      <c r="D259" s="11">
        <v>43950</v>
      </c>
      <c r="E259" s="11">
        <v>43950</v>
      </c>
      <c r="F259" s="31">
        <v>51899000</v>
      </c>
      <c r="G259" s="32">
        <v>0</v>
      </c>
      <c r="H259" s="8" t="s">
        <v>528</v>
      </c>
      <c r="I259" s="12">
        <v>900727931</v>
      </c>
      <c r="J259" s="13" t="s">
        <v>533</v>
      </c>
      <c r="K259" s="14">
        <v>34151</v>
      </c>
      <c r="L259" s="15" t="s">
        <v>250</v>
      </c>
      <c r="M259" s="16">
        <v>1000</v>
      </c>
      <c r="N259" s="16">
        <v>0</v>
      </c>
      <c r="O259" s="16">
        <f t="shared" si="11"/>
        <v>34151000</v>
      </c>
      <c r="P259" s="14" t="s">
        <v>95</v>
      </c>
    </row>
    <row r="260" spans="1:16" x14ac:dyDescent="0.3">
      <c r="A260" s="8" t="s">
        <v>490</v>
      </c>
      <c r="B260" s="9" t="s">
        <v>532</v>
      </c>
      <c r="C260" s="10" t="s">
        <v>527</v>
      </c>
      <c r="D260" s="11">
        <v>43950</v>
      </c>
      <c r="E260" s="11">
        <v>43950</v>
      </c>
      <c r="F260" s="31">
        <v>51899000</v>
      </c>
      <c r="G260" s="32">
        <v>0</v>
      </c>
      <c r="H260" s="8" t="s">
        <v>528</v>
      </c>
      <c r="I260" s="12">
        <v>900727931</v>
      </c>
      <c r="J260" s="13" t="s">
        <v>534</v>
      </c>
      <c r="K260" s="14">
        <v>1305</v>
      </c>
      <c r="L260" s="15" t="s">
        <v>531</v>
      </c>
      <c r="M260" s="16">
        <v>13600</v>
      </c>
      <c r="N260" s="16">
        <v>0</v>
      </c>
      <c r="O260" s="16">
        <f t="shared" si="11"/>
        <v>17748000</v>
      </c>
      <c r="P260" s="14" t="s">
        <v>23</v>
      </c>
    </row>
    <row r="261" spans="1:16" x14ac:dyDescent="0.3">
      <c r="A261" s="8" t="s">
        <v>490</v>
      </c>
      <c r="B261" s="9" t="s">
        <v>499</v>
      </c>
      <c r="C261" s="10" t="s">
        <v>500</v>
      </c>
      <c r="D261" s="11">
        <v>43958</v>
      </c>
      <c r="E261" s="11">
        <v>43962</v>
      </c>
      <c r="F261" s="31">
        <v>3898952</v>
      </c>
      <c r="G261" s="32">
        <v>0</v>
      </c>
      <c r="H261" s="8" t="s">
        <v>501</v>
      </c>
      <c r="I261" s="12">
        <v>800147520</v>
      </c>
      <c r="J261" s="13" t="s">
        <v>535</v>
      </c>
      <c r="K261" s="14">
        <v>12</v>
      </c>
      <c r="L261" s="15" t="s">
        <v>250</v>
      </c>
      <c r="M261" s="16">
        <v>300000</v>
      </c>
      <c r="N261" s="16">
        <v>0</v>
      </c>
      <c r="O261" s="16">
        <f t="shared" si="11"/>
        <v>3600000</v>
      </c>
      <c r="P261" s="14" t="s">
        <v>136</v>
      </c>
    </row>
    <row r="262" spans="1:16" x14ac:dyDescent="0.3">
      <c r="A262" s="8" t="s">
        <v>490</v>
      </c>
      <c r="B262" s="9" t="s">
        <v>499</v>
      </c>
      <c r="C262" s="10" t="s">
        <v>500</v>
      </c>
      <c r="D262" s="11">
        <v>43958</v>
      </c>
      <c r="E262" s="11">
        <v>43962</v>
      </c>
      <c r="F262" s="31">
        <v>3898952</v>
      </c>
      <c r="G262" s="32">
        <v>0</v>
      </c>
      <c r="H262" s="8" t="s">
        <v>501</v>
      </c>
      <c r="I262" s="12">
        <v>800147520</v>
      </c>
      <c r="J262" s="13" t="s">
        <v>503</v>
      </c>
      <c r="K262" s="14">
        <v>158</v>
      </c>
      <c r="L262" s="15" t="s">
        <v>250</v>
      </c>
      <c r="M262" s="16">
        <v>1590</v>
      </c>
      <c r="N262" s="16">
        <f>M262*0.19</f>
        <v>302.10000000000002</v>
      </c>
      <c r="O262" s="16">
        <f t="shared" si="11"/>
        <v>298951.8</v>
      </c>
      <c r="P262" s="14" t="s">
        <v>202</v>
      </c>
    </row>
    <row r="263" spans="1:16" x14ac:dyDescent="0.3">
      <c r="A263" s="8" t="s">
        <v>490</v>
      </c>
      <c r="B263" s="9" t="s">
        <v>491</v>
      </c>
      <c r="C263" s="10" t="s">
        <v>492</v>
      </c>
      <c r="D263" s="11">
        <v>43959</v>
      </c>
      <c r="E263" s="11">
        <v>43963</v>
      </c>
      <c r="F263" s="31">
        <v>36164900</v>
      </c>
      <c r="G263" s="32">
        <v>0</v>
      </c>
      <c r="H263" s="8" t="s">
        <v>493</v>
      </c>
      <c r="I263" s="12">
        <v>900429897</v>
      </c>
      <c r="J263" s="13" t="s">
        <v>536</v>
      </c>
      <c r="K263" s="24">
        <v>1354</v>
      </c>
      <c r="L263" s="15" t="s">
        <v>172</v>
      </c>
      <c r="M263" s="16">
        <v>16850</v>
      </c>
      <c r="N263" s="16">
        <v>0</v>
      </c>
      <c r="O263" s="16">
        <f t="shared" si="11"/>
        <v>22814900</v>
      </c>
      <c r="P263" s="14" t="s">
        <v>34</v>
      </c>
    </row>
    <row r="264" spans="1:16" x14ac:dyDescent="0.3">
      <c r="A264" s="8" t="s">
        <v>490</v>
      </c>
      <c r="B264" s="9" t="s">
        <v>491</v>
      </c>
      <c r="C264" s="10" t="s">
        <v>492</v>
      </c>
      <c r="D264" s="11">
        <v>43959</v>
      </c>
      <c r="E264" s="11">
        <v>43963</v>
      </c>
      <c r="F264" s="31">
        <v>36164900</v>
      </c>
      <c r="G264" s="32">
        <v>0</v>
      </c>
      <c r="H264" s="8" t="s">
        <v>493</v>
      </c>
      <c r="I264" s="12">
        <v>900429897</v>
      </c>
      <c r="J264" s="13" t="s">
        <v>537</v>
      </c>
      <c r="K264" s="14">
        <v>1335</v>
      </c>
      <c r="L264" s="15" t="s">
        <v>250</v>
      </c>
      <c r="M264" s="16">
        <v>10000</v>
      </c>
      <c r="N264" s="16">
        <v>0</v>
      </c>
      <c r="O264" s="16">
        <f t="shared" si="11"/>
        <v>13350000</v>
      </c>
      <c r="P264" s="14" t="s">
        <v>1383</v>
      </c>
    </row>
    <row r="265" spans="1:16" x14ac:dyDescent="0.3">
      <c r="A265" s="8" t="s">
        <v>490</v>
      </c>
      <c r="B265" s="9" t="s">
        <v>532</v>
      </c>
      <c r="C265" s="10" t="s">
        <v>527</v>
      </c>
      <c r="D265" s="11">
        <v>43950</v>
      </c>
      <c r="E265" s="11">
        <v>43956</v>
      </c>
      <c r="F265" s="31">
        <v>0</v>
      </c>
      <c r="G265" s="32">
        <v>150000000</v>
      </c>
      <c r="H265" s="8" t="s">
        <v>528</v>
      </c>
      <c r="I265" s="12">
        <v>900727931</v>
      </c>
      <c r="J265" s="13" t="s">
        <v>538</v>
      </c>
      <c r="K265" s="14">
        <v>150000</v>
      </c>
      <c r="L265" s="15" t="s">
        <v>250</v>
      </c>
      <c r="M265" s="16">
        <v>1000</v>
      </c>
      <c r="N265" s="16">
        <v>0</v>
      </c>
      <c r="O265" s="16">
        <f t="shared" si="11"/>
        <v>150000000</v>
      </c>
      <c r="P265" s="14" t="s">
        <v>95</v>
      </c>
    </row>
    <row r="266" spans="1:16" x14ac:dyDescent="0.3">
      <c r="A266" s="8" t="s">
        <v>490</v>
      </c>
      <c r="B266" s="9" t="s">
        <v>539</v>
      </c>
      <c r="C266" s="10" t="s">
        <v>540</v>
      </c>
      <c r="D266" s="11">
        <v>44015</v>
      </c>
      <c r="E266" s="11">
        <v>44018</v>
      </c>
      <c r="F266" s="31">
        <v>14999192</v>
      </c>
      <c r="G266" s="32">
        <v>0</v>
      </c>
      <c r="H266" s="8" t="s">
        <v>541</v>
      </c>
      <c r="I266" s="12">
        <v>900471617</v>
      </c>
      <c r="J266" s="13" t="s">
        <v>542</v>
      </c>
      <c r="K266" s="14">
        <v>440</v>
      </c>
      <c r="L266" s="15" t="s">
        <v>250</v>
      </c>
      <c r="M266" s="16">
        <v>29500</v>
      </c>
      <c r="N266" s="16">
        <v>0</v>
      </c>
      <c r="O266" s="16">
        <f t="shared" si="11"/>
        <v>12980000</v>
      </c>
      <c r="P266" s="14" t="s">
        <v>383</v>
      </c>
    </row>
    <row r="267" spans="1:16" x14ac:dyDescent="0.3">
      <c r="A267" s="8" t="s">
        <v>490</v>
      </c>
      <c r="B267" s="9" t="s">
        <v>539</v>
      </c>
      <c r="C267" s="10" t="s">
        <v>540</v>
      </c>
      <c r="D267" s="11">
        <v>44015</v>
      </c>
      <c r="E267" s="11">
        <v>44018</v>
      </c>
      <c r="F267" s="31">
        <v>14999192</v>
      </c>
      <c r="G267" s="32">
        <v>0</v>
      </c>
      <c r="H267" s="8" t="s">
        <v>541</v>
      </c>
      <c r="I267" s="12">
        <v>900471617</v>
      </c>
      <c r="J267" s="13" t="s">
        <v>543</v>
      </c>
      <c r="K267" s="14">
        <v>303</v>
      </c>
      <c r="L267" s="15" t="s">
        <v>1246</v>
      </c>
      <c r="M267" s="16">
        <v>5600</v>
      </c>
      <c r="N267" s="16">
        <f t="shared" ref="N267:N294" si="12">M267*0.19</f>
        <v>1064</v>
      </c>
      <c r="O267" s="16">
        <f t="shared" si="11"/>
        <v>2019192</v>
      </c>
      <c r="P267" s="14" t="s">
        <v>1387</v>
      </c>
    </row>
    <row r="268" spans="1:16" x14ac:dyDescent="0.3">
      <c r="A268" s="8" t="s">
        <v>544</v>
      </c>
      <c r="B268" s="9" t="s">
        <v>545</v>
      </c>
      <c r="C268" s="10" t="s">
        <v>546</v>
      </c>
      <c r="D268" s="11" t="s">
        <v>547</v>
      </c>
      <c r="E268" s="11" t="s">
        <v>547</v>
      </c>
      <c r="F268" s="31">
        <v>21078782</v>
      </c>
      <c r="G268" s="32">
        <v>0</v>
      </c>
      <c r="H268" s="8" t="s">
        <v>548</v>
      </c>
      <c r="I268" s="12">
        <v>900406714</v>
      </c>
      <c r="J268" s="13" t="s">
        <v>549</v>
      </c>
      <c r="K268" s="14">
        <v>12</v>
      </c>
      <c r="L268" s="15" t="s">
        <v>531</v>
      </c>
      <c r="M268" s="16">
        <v>18487</v>
      </c>
      <c r="N268" s="16">
        <f t="shared" si="12"/>
        <v>3512.53</v>
      </c>
      <c r="O268" s="16">
        <f t="shared" si="11"/>
        <v>263994.36</v>
      </c>
      <c r="P268" s="14" t="s">
        <v>59</v>
      </c>
    </row>
    <row r="269" spans="1:16" x14ac:dyDescent="0.3">
      <c r="A269" s="8" t="s">
        <v>544</v>
      </c>
      <c r="B269" s="9" t="s">
        <v>545</v>
      </c>
      <c r="C269" s="10" t="s">
        <v>546</v>
      </c>
      <c r="D269" s="11" t="s">
        <v>547</v>
      </c>
      <c r="E269" s="11" t="s">
        <v>547</v>
      </c>
      <c r="F269" s="31">
        <v>21078782</v>
      </c>
      <c r="G269" s="32">
        <v>0</v>
      </c>
      <c r="H269" s="8" t="s">
        <v>548</v>
      </c>
      <c r="I269" s="12">
        <v>900406714</v>
      </c>
      <c r="J269" s="13" t="s">
        <v>1481</v>
      </c>
      <c r="K269" s="14">
        <v>190</v>
      </c>
      <c r="L269" s="15" t="s">
        <v>172</v>
      </c>
      <c r="M269" s="16">
        <f>67587/19</f>
        <v>3557.2105263157896</v>
      </c>
      <c r="N269" s="16">
        <f t="shared" si="12"/>
        <v>675.87</v>
      </c>
      <c r="O269" s="16">
        <f t="shared" si="11"/>
        <v>804285.3</v>
      </c>
      <c r="P269" s="14" t="s">
        <v>36</v>
      </c>
    </row>
    <row r="270" spans="1:16" x14ac:dyDescent="0.3">
      <c r="A270" s="8" t="s">
        <v>544</v>
      </c>
      <c r="B270" s="9" t="s">
        <v>545</v>
      </c>
      <c r="C270" s="10" t="s">
        <v>546</v>
      </c>
      <c r="D270" s="11" t="s">
        <v>547</v>
      </c>
      <c r="E270" s="11" t="s">
        <v>547</v>
      </c>
      <c r="F270" s="31">
        <v>21078782</v>
      </c>
      <c r="G270" s="32">
        <v>0</v>
      </c>
      <c r="H270" s="8" t="s">
        <v>548</v>
      </c>
      <c r="I270" s="12">
        <v>900406714</v>
      </c>
      <c r="J270" s="13" t="s">
        <v>550</v>
      </c>
      <c r="K270" s="14">
        <v>4</v>
      </c>
      <c r="L270" s="15" t="s">
        <v>250</v>
      </c>
      <c r="M270" s="16">
        <v>2251.21</v>
      </c>
      <c r="N270" s="16">
        <f t="shared" si="12"/>
        <v>427.72989999999999</v>
      </c>
      <c r="O270" s="16">
        <f t="shared" si="11"/>
        <v>10715.759599999999</v>
      </c>
      <c r="P270" s="14" t="s">
        <v>1380</v>
      </c>
    </row>
    <row r="271" spans="1:16" x14ac:dyDescent="0.3">
      <c r="A271" s="8" t="s">
        <v>544</v>
      </c>
      <c r="B271" s="9" t="s">
        <v>545</v>
      </c>
      <c r="C271" s="10" t="s">
        <v>546</v>
      </c>
      <c r="D271" s="11" t="s">
        <v>547</v>
      </c>
      <c r="E271" s="11" t="s">
        <v>547</v>
      </c>
      <c r="F271" s="31">
        <v>21078782</v>
      </c>
      <c r="G271" s="32">
        <v>0</v>
      </c>
      <c r="H271" s="8" t="s">
        <v>548</v>
      </c>
      <c r="I271" s="12">
        <v>900406714</v>
      </c>
      <c r="J271" s="13" t="s">
        <v>1418</v>
      </c>
      <c r="K271" s="14">
        <f>30*50</f>
        <v>1500</v>
      </c>
      <c r="L271" s="15" t="s">
        <v>250</v>
      </c>
      <c r="M271" s="16">
        <f>29117.64/50</f>
        <v>582.3528</v>
      </c>
      <c r="N271" s="16">
        <f t="shared" si="12"/>
        <v>110.647032</v>
      </c>
      <c r="O271" s="16">
        <f t="shared" si="11"/>
        <v>1039499.7479999999</v>
      </c>
      <c r="P271" s="14" t="s">
        <v>95</v>
      </c>
    </row>
    <row r="272" spans="1:16" x14ac:dyDescent="0.3">
      <c r="A272" s="8" t="s">
        <v>544</v>
      </c>
      <c r="B272" s="9" t="s">
        <v>545</v>
      </c>
      <c r="C272" s="10" t="s">
        <v>546</v>
      </c>
      <c r="D272" s="11" t="s">
        <v>547</v>
      </c>
      <c r="E272" s="11" t="s">
        <v>547</v>
      </c>
      <c r="F272" s="31">
        <v>21078782</v>
      </c>
      <c r="G272" s="32">
        <v>0</v>
      </c>
      <c r="H272" s="8" t="s">
        <v>548</v>
      </c>
      <c r="I272" s="12">
        <v>900406714</v>
      </c>
      <c r="J272" s="13" t="s">
        <v>551</v>
      </c>
      <c r="K272" s="14">
        <v>5</v>
      </c>
      <c r="L272" s="15" t="s">
        <v>250</v>
      </c>
      <c r="M272" s="16">
        <v>6303.33</v>
      </c>
      <c r="N272" s="16">
        <f t="shared" si="12"/>
        <v>1197.6327000000001</v>
      </c>
      <c r="O272" s="16">
        <f t="shared" si="11"/>
        <v>37504.813500000004</v>
      </c>
      <c r="P272" s="14" t="s">
        <v>1380</v>
      </c>
    </row>
    <row r="273" spans="1:16" x14ac:dyDescent="0.3">
      <c r="A273" s="8" t="s">
        <v>544</v>
      </c>
      <c r="B273" s="9" t="s">
        <v>545</v>
      </c>
      <c r="C273" s="10" t="s">
        <v>546</v>
      </c>
      <c r="D273" s="11" t="s">
        <v>547</v>
      </c>
      <c r="E273" s="11" t="s">
        <v>547</v>
      </c>
      <c r="F273" s="31">
        <v>21078782</v>
      </c>
      <c r="G273" s="32">
        <v>0</v>
      </c>
      <c r="H273" s="8" t="s">
        <v>548</v>
      </c>
      <c r="I273" s="12">
        <v>900406714</v>
      </c>
      <c r="J273" s="13" t="s">
        <v>552</v>
      </c>
      <c r="K273" s="14">
        <v>12</v>
      </c>
      <c r="L273" s="15" t="s">
        <v>250</v>
      </c>
      <c r="M273" s="16">
        <v>2974</v>
      </c>
      <c r="N273" s="16">
        <f t="shared" si="12"/>
        <v>565.06000000000006</v>
      </c>
      <c r="O273" s="16">
        <f t="shared" si="11"/>
        <v>42468.72</v>
      </c>
      <c r="P273" s="14" t="s">
        <v>1380</v>
      </c>
    </row>
    <row r="274" spans="1:16" x14ac:dyDescent="0.3">
      <c r="A274" s="8" t="s">
        <v>544</v>
      </c>
      <c r="B274" s="9" t="s">
        <v>545</v>
      </c>
      <c r="C274" s="10" t="s">
        <v>546</v>
      </c>
      <c r="D274" s="11" t="s">
        <v>547</v>
      </c>
      <c r="E274" s="11" t="s">
        <v>547</v>
      </c>
      <c r="F274" s="31">
        <v>21078782</v>
      </c>
      <c r="G274" s="32">
        <v>0</v>
      </c>
      <c r="H274" s="8" t="s">
        <v>548</v>
      </c>
      <c r="I274" s="12">
        <v>900406714</v>
      </c>
      <c r="J274" s="13" t="s">
        <v>553</v>
      </c>
      <c r="K274" s="14">
        <v>5</v>
      </c>
      <c r="L274" s="15" t="s">
        <v>531</v>
      </c>
      <c r="M274" s="16">
        <v>18487</v>
      </c>
      <c r="N274" s="16">
        <f t="shared" si="12"/>
        <v>3512.53</v>
      </c>
      <c r="O274" s="16">
        <f t="shared" si="11"/>
        <v>109997.65</v>
      </c>
      <c r="P274" s="14" t="s">
        <v>59</v>
      </c>
    </row>
    <row r="275" spans="1:16" x14ac:dyDescent="0.3">
      <c r="A275" s="8" t="s">
        <v>544</v>
      </c>
      <c r="B275" s="9" t="s">
        <v>545</v>
      </c>
      <c r="C275" s="10" t="s">
        <v>546</v>
      </c>
      <c r="D275" s="11" t="s">
        <v>547</v>
      </c>
      <c r="E275" s="11" t="s">
        <v>547</v>
      </c>
      <c r="F275" s="31">
        <v>21078782</v>
      </c>
      <c r="G275" s="32">
        <v>0</v>
      </c>
      <c r="H275" s="8" t="s">
        <v>548</v>
      </c>
      <c r="I275" s="12">
        <v>900406714</v>
      </c>
      <c r="J275" s="13" t="s">
        <v>554</v>
      </c>
      <c r="K275" s="14">
        <v>20</v>
      </c>
      <c r="L275" s="15" t="s">
        <v>172</v>
      </c>
      <c r="M275" s="16">
        <v>12653.846000000001</v>
      </c>
      <c r="N275" s="16">
        <f t="shared" si="12"/>
        <v>2404.2307400000004</v>
      </c>
      <c r="O275" s="16">
        <f t="shared" si="11"/>
        <v>301161.53480000002</v>
      </c>
      <c r="P275" s="14" t="s">
        <v>1398</v>
      </c>
    </row>
    <row r="276" spans="1:16" x14ac:dyDescent="0.3">
      <c r="A276" s="8" t="s">
        <v>544</v>
      </c>
      <c r="B276" s="9" t="s">
        <v>545</v>
      </c>
      <c r="C276" s="10" t="s">
        <v>546</v>
      </c>
      <c r="D276" s="11" t="s">
        <v>547</v>
      </c>
      <c r="E276" s="11" t="s">
        <v>547</v>
      </c>
      <c r="F276" s="31">
        <v>21078782</v>
      </c>
      <c r="G276" s="32">
        <v>0</v>
      </c>
      <c r="H276" s="8" t="s">
        <v>548</v>
      </c>
      <c r="I276" s="12">
        <v>900406714</v>
      </c>
      <c r="J276" s="13" t="s">
        <v>555</v>
      </c>
      <c r="K276" s="14">
        <f>100*12</f>
        <v>1200</v>
      </c>
      <c r="L276" s="15" t="s">
        <v>556</v>
      </c>
      <c r="M276" s="16">
        <v>1284.4166666666667</v>
      </c>
      <c r="N276" s="16">
        <f t="shared" si="12"/>
        <v>244.03916666666669</v>
      </c>
      <c r="O276" s="16">
        <f t="shared" si="11"/>
        <v>1834147</v>
      </c>
      <c r="P276" s="14" t="s">
        <v>98</v>
      </c>
    </row>
    <row r="277" spans="1:16" x14ac:dyDescent="0.3">
      <c r="A277" s="8" t="s">
        <v>544</v>
      </c>
      <c r="B277" s="9" t="s">
        <v>545</v>
      </c>
      <c r="C277" s="10" t="s">
        <v>546</v>
      </c>
      <c r="D277" s="11" t="s">
        <v>547</v>
      </c>
      <c r="E277" s="11" t="s">
        <v>547</v>
      </c>
      <c r="F277" s="31">
        <v>21078782</v>
      </c>
      <c r="G277" s="32">
        <v>0</v>
      </c>
      <c r="H277" s="8" t="s">
        <v>548</v>
      </c>
      <c r="I277" s="12">
        <v>900406714</v>
      </c>
      <c r="J277" s="13" t="s">
        <v>557</v>
      </c>
      <c r="K277" s="14">
        <v>72</v>
      </c>
      <c r="L277" s="15" t="s">
        <v>1277</v>
      </c>
      <c r="M277" s="16">
        <v>5389</v>
      </c>
      <c r="N277" s="16">
        <f t="shared" si="12"/>
        <v>1023.91</v>
      </c>
      <c r="O277" s="16">
        <f t="shared" si="11"/>
        <v>461729.52</v>
      </c>
      <c r="P277" s="14" t="s">
        <v>94</v>
      </c>
    </row>
    <row r="278" spans="1:16" x14ac:dyDescent="0.3">
      <c r="A278" s="8" t="s">
        <v>544</v>
      </c>
      <c r="B278" s="9" t="s">
        <v>545</v>
      </c>
      <c r="C278" s="10" t="s">
        <v>546</v>
      </c>
      <c r="D278" s="11" t="s">
        <v>547</v>
      </c>
      <c r="E278" s="11" t="s">
        <v>547</v>
      </c>
      <c r="F278" s="31">
        <v>21078782</v>
      </c>
      <c r="G278" s="32">
        <v>0</v>
      </c>
      <c r="H278" s="8" t="s">
        <v>548</v>
      </c>
      <c r="I278" s="12">
        <v>900406714</v>
      </c>
      <c r="J278" s="13" t="s">
        <v>558</v>
      </c>
      <c r="K278" s="14">
        <v>360</v>
      </c>
      <c r="L278" s="15" t="s">
        <v>1369</v>
      </c>
      <c r="M278" s="16">
        <v>15913</v>
      </c>
      <c r="N278" s="16">
        <f t="shared" si="12"/>
        <v>3023.4700000000003</v>
      </c>
      <c r="O278" s="16">
        <f t="shared" si="11"/>
        <v>6817129.2000000002</v>
      </c>
      <c r="P278" s="14" t="s">
        <v>94</v>
      </c>
    </row>
    <row r="279" spans="1:16" x14ac:dyDescent="0.3">
      <c r="A279" s="8" t="s">
        <v>544</v>
      </c>
      <c r="B279" s="9" t="s">
        <v>545</v>
      </c>
      <c r="C279" s="10" t="s">
        <v>546</v>
      </c>
      <c r="D279" s="11" t="s">
        <v>547</v>
      </c>
      <c r="E279" s="11" t="s">
        <v>547</v>
      </c>
      <c r="F279" s="31">
        <v>21078782</v>
      </c>
      <c r="G279" s="32">
        <v>0</v>
      </c>
      <c r="H279" s="8" t="s">
        <v>548</v>
      </c>
      <c r="I279" s="12">
        <v>900406714</v>
      </c>
      <c r="J279" s="13" t="s">
        <v>559</v>
      </c>
      <c r="K279" s="14">
        <f>48*50</f>
        <v>2400</v>
      </c>
      <c r="L279" s="15" t="s">
        <v>250</v>
      </c>
      <c r="M279" s="16">
        <v>578.22</v>
      </c>
      <c r="N279" s="16">
        <f t="shared" si="12"/>
        <v>109.8618</v>
      </c>
      <c r="O279" s="16">
        <f t="shared" si="11"/>
        <v>1651396.32</v>
      </c>
      <c r="P279" s="14" t="s">
        <v>1395</v>
      </c>
    </row>
    <row r="280" spans="1:16" x14ac:dyDescent="0.3">
      <c r="A280" s="8" t="s">
        <v>544</v>
      </c>
      <c r="B280" s="9" t="s">
        <v>545</v>
      </c>
      <c r="C280" s="10" t="s">
        <v>546</v>
      </c>
      <c r="D280" s="11" t="s">
        <v>547</v>
      </c>
      <c r="E280" s="11" t="s">
        <v>547</v>
      </c>
      <c r="F280" s="31">
        <v>21078782</v>
      </c>
      <c r="G280" s="32">
        <v>0</v>
      </c>
      <c r="H280" s="8" t="s">
        <v>548</v>
      </c>
      <c r="I280" s="12">
        <v>900406714</v>
      </c>
      <c r="J280" s="13" t="s">
        <v>561</v>
      </c>
      <c r="K280" s="14">
        <v>126</v>
      </c>
      <c r="L280" s="15" t="s">
        <v>172</v>
      </c>
      <c r="M280" s="16">
        <v>25205</v>
      </c>
      <c r="N280" s="16">
        <f t="shared" si="12"/>
        <v>4788.95</v>
      </c>
      <c r="O280" s="16">
        <f t="shared" si="11"/>
        <v>3779237.7</v>
      </c>
      <c r="P280" s="14" t="s">
        <v>36</v>
      </c>
    </row>
    <row r="281" spans="1:16" x14ac:dyDescent="0.3">
      <c r="A281" s="8" t="s">
        <v>544</v>
      </c>
      <c r="B281" s="9" t="s">
        <v>545</v>
      </c>
      <c r="C281" s="10" t="s">
        <v>546</v>
      </c>
      <c r="D281" s="11" t="s">
        <v>547</v>
      </c>
      <c r="E281" s="11" t="s">
        <v>547</v>
      </c>
      <c r="F281" s="31">
        <v>21078782</v>
      </c>
      <c r="G281" s="32">
        <v>0</v>
      </c>
      <c r="H281" s="8" t="s">
        <v>548</v>
      </c>
      <c r="I281" s="12">
        <v>900406714</v>
      </c>
      <c r="J281" s="13" t="s">
        <v>562</v>
      </c>
      <c r="K281" s="14">
        <v>300</v>
      </c>
      <c r="L281" s="15" t="s">
        <v>250</v>
      </c>
      <c r="M281" s="16">
        <v>10650</v>
      </c>
      <c r="N281" s="16">
        <f t="shared" si="12"/>
        <v>2023.5</v>
      </c>
      <c r="O281" s="16">
        <f t="shared" si="11"/>
        <v>3802050</v>
      </c>
      <c r="P281" s="14" t="s">
        <v>21</v>
      </c>
    </row>
    <row r="282" spans="1:16" x14ac:dyDescent="0.3">
      <c r="A282" s="8" t="s">
        <v>544</v>
      </c>
      <c r="B282" s="9" t="s">
        <v>563</v>
      </c>
      <c r="C282" s="10" t="s">
        <v>564</v>
      </c>
      <c r="D282" s="11" t="s">
        <v>565</v>
      </c>
      <c r="E282" s="11" t="s">
        <v>565</v>
      </c>
      <c r="F282" s="31">
        <v>10499998</v>
      </c>
      <c r="G282" s="32">
        <v>0</v>
      </c>
      <c r="H282" s="8" t="s">
        <v>566</v>
      </c>
      <c r="I282" s="12">
        <v>901260145</v>
      </c>
      <c r="J282" s="13" t="s">
        <v>567</v>
      </c>
      <c r="K282" s="24">
        <v>350</v>
      </c>
      <c r="L282" s="15" t="s">
        <v>172</v>
      </c>
      <c r="M282" s="16">
        <v>25210.080000000002</v>
      </c>
      <c r="N282" s="16">
        <f t="shared" si="12"/>
        <v>4789.9152000000004</v>
      </c>
      <c r="O282" s="16">
        <f t="shared" si="11"/>
        <v>10499998.32</v>
      </c>
      <c r="P282" s="14" t="s">
        <v>34</v>
      </c>
    </row>
    <row r="283" spans="1:16" x14ac:dyDescent="0.3">
      <c r="A283" s="8" t="s">
        <v>544</v>
      </c>
      <c r="B283" s="9" t="s">
        <v>568</v>
      </c>
      <c r="C283" s="10" t="s">
        <v>564</v>
      </c>
      <c r="D283" s="11" t="s">
        <v>565</v>
      </c>
      <c r="E283" s="11" t="s">
        <v>565</v>
      </c>
      <c r="F283" s="31">
        <v>1081500</v>
      </c>
      <c r="G283" s="32">
        <v>0</v>
      </c>
      <c r="H283" s="8" t="s">
        <v>569</v>
      </c>
      <c r="I283" s="12">
        <v>15354493</v>
      </c>
      <c r="J283" s="13" t="s">
        <v>570</v>
      </c>
      <c r="K283" s="14">
        <f>4*10</f>
        <v>40</v>
      </c>
      <c r="L283" s="15" t="s">
        <v>531</v>
      </c>
      <c r="M283" s="16">
        <v>21260.504199999999</v>
      </c>
      <c r="N283" s="16">
        <f t="shared" si="12"/>
        <v>4039.4957979999999</v>
      </c>
      <c r="O283" s="16">
        <f t="shared" si="11"/>
        <v>1011999.99992</v>
      </c>
      <c r="P283" s="14" t="s">
        <v>59</v>
      </c>
    </row>
    <row r="284" spans="1:16" x14ac:dyDescent="0.3">
      <c r="A284" s="8" t="s">
        <v>544</v>
      </c>
      <c r="B284" s="9" t="s">
        <v>568</v>
      </c>
      <c r="C284" s="10" t="s">
        <v>564</v>
      </c>
      <c r="D284" s="11" t="s">
        <v>565</v>
      </c>
      <c r="E284" s="11" t="s">
        <v>565</v>
      </c>
      <c r="F284" s="31">
        <v>1081500</v>
      </c>
      <c r="G284" s="32">
        <v>0</v>
      </c>
      <c r="H284" s="8" t="s">
        <v>569</v>
      </c>
      <c r="I284" s="12">
        <v>15354493</v>
      </c>
      <c r="J284" s="13" t="s">
        <v>571</v>
      </c>
      <c r="K284" s="14">
        <f>5</f>
        <v>5</v>
      </c>
      <c r="L284" s="15" t="s">
        <v>1246</v>
      </c>
      <c r="M284" s="16">
        <f>46.2184*100</f>
        <v>4621.84</v>
      </c>
      <c r="N284" s="16">
        <f t="shared" si="12"/>
        <v>878.14960000000008</v>
      </c>
      <c r="O284" s="16">
        <f t="shared" si="11"/>
        <v>27499.948</v>
      </c>
      <c r="P284" s="14" t="s">
        <v>1387</v>
      </c>
    </row>
    <row r="285" spans="1:16" x14ac:dyDescent="0.3">
      <c r="A285" s="8" t="s">
        <v>544</v>
      </c>
      <c r="B285" s="9" t="s">
        <v>568</v>
      </c>
      <c r="C285" s="10" t="s">
        <v>564</v>
      </c>
      <c r="D285" s="11" t="s">
        <v>565</v>
      </c>
      <c r="E285" s="11" t="s">
        <v>565</v>
      </c>
      <c r="F285" s="31">
        <v>1081500</v>
      </c>
      <c r="G285" s="32">
        <v>0</v>
      </c>
      <c r="H285" s="8" t="s">
        <v>569</v>
      </c>
      <c r="I285" s="12">
        <v>15354493</v>
      </c>
      <c r="J285" s="13" t="s">
        <v>572</v>
      </c>
      <c r="K285" s="14">
        <v>6</v>
      </c>
      <c r="L285" s="15" t="s">
        <v>1246</v>
      </c>
      <c r="M285" s="16">
        <f>58.8235*100</f>
        <v>5882.35</v>
      </c>
      <c r="N285" s="16">
        <f t="shared" si="12"/>
        <v>1117.6465000000001</v>
      </c>
      <c r="O285" s="16">
        <f t="shared" si="11"/>
        <v>41999.978999999999</v>
      </c>
      <c r="P285" s="14" t="s">
        <v>1387</v>
      </c>
    </row>
    <row r="286" spans="1:16" x14ac:dyDescent="0.3">
      <c r="A286" s="8" t="s">
        <v>544</v>
      </c>
      <c r="B286" s="9" t="s">
        <v>573</v>
      </c>
      <c r="C286" s="10" t="s">
        <v>564</v>
      </c>
      <c r="D286" s="11" t="s">
        <v>565</v>
      </c>
      <c r="E286" s="11" t="s">
        <v>565</v>
      </c>
      <c r="F286" s="31">
        <v>6426000</v>
      </c>
      <c r="G286" s="32">
        <v>0</v>
      </c>
      <c r="H286" s="8" t="s">
        <v>574</v>
      </c>
      <c r="I286" s="12">
        <v>901212927</v>
      </c>
      <c r="J286" s="13" t="s">
        <v>575</v>
      </c>
      <c r="K286" s="14">
        <v>3000</v>
      </c>
      <c r="L286" s="15" t="s">
        <v>250</v>
      </c>
      <c r="M286" s="16">
        <v>1800</v>
      </c>
      <c r="N286" s="16">
        <f t="shared" si="12"/>
        <v>342</v>
      </c>
      <c r="O286" s="16">
        <f t="shared" si="11"/>
        <v>6426000</v>
      </c>
      <c r="P286" s="14" t="s">
        <v>95</v>
      </c>
    </row>
    <row r="287" spans="1:16" x14ac:dyDescent="0.3">
      <c r="A287" s="8" t="s">
        <v>544</v>
      </c>
      <c r="B287" s="9" t="s">
        <v>576</v>
      </c>
      <c r="C287" s="10" t="s">
        <v>564</v>
      </c>
      <c r="D287" s="11" t="s">
        <v>577</v>
      </c>
      <c r="E287" s="11" t="s">
        <v>577</v>
      </c>
      <c r="F287" s="31">
        <v>15999997</v>
      </c>
      <c r="G287" s="32">
        <v>0</v>
      </c>
      <c r="H287" s="8" t="s">
        <v>566</v>
      </c>
      <c r="I287" s="12">
        <v>901260145</v>
      </c>
      <c r="J287" s="13" t="s">
        <v>578</v>
      </c>
      <c r="K287" s="24">
        <v>400</v>
      </c>
      <c r="L287" s="15" t="s">
        <v>172</v>
      </c>
      <c r="M287" s="16">
        <v>21008.400000000001</v>
      </c>
      <c r="N287" s="16">
        <f t="shared" si="12"/>
        <v>3991.5960000000005</v>
      </c>
      <c r="O287" s="16">
        <f t="shared" si="11"/>
        <v>9999998.4000000004</v>
      </c>
      <c r="P287" s="14" t="s">
        <v>96</v>
      </c>
    </row>
    <row r="288" spans="1:16" x14ac:dyDescent="0.3">
      <c r="A288" s="8" t="s">
        <v>544</v>
      </c>
      <c r="B288" s="9" t="s">
        <v>576</v>
      </c>
      <c r="C288" s="10" t="s">
        <v>564</v>
      </c>
      <c r="D288" s="11" t="s">
        <v>577</v>
      </c>
      <c r="E288" s="11" t="s">
        <v>577</v>
      </c>
      <c r="F288" s="31">
        <v>15999997</v>
      </c>
      <c r="G288" s="32">
        <v>0</v>
      </c>
      <c r="H288" s="8" t="s">
        <v>566</v>
      </c>
      <c r="I288" s="12">
        <v>901260145</v>
      </c>
      <c r="J288" s="13" t="s">
        <v>1443</v>
      </c>
      <c r="K288" s="24">
        <v>300</v>
      </c>
      <c r="L288" s="15" t="s">
        <v>172</v>
      </c>
      <c r="M288" s="16">
        <v>16806.72</v>
      </c>
      <c r="N288" s="16">
        <f t="shared" si="12"/>
        <v>3193.2768000000001</v>
      </c>
      <c r="O288" s="16">
        <f t="shared" si="11"/>
        <v>5999999.04</v>
      </c>
      <c r="P288" s="14" t="s">
        <v>34</v>
      </c>
    </row>
    <row r="289" spans="1:16" x14ac:dyDescent="0.3">
      <c r="A289" s="8" t="s">
        <v>544</v>
      </c>
      <c r="B289" s="9" t="s">
        <v>579</v>
      </c>
      <c r="C289" s="10" t="s">
        <v>564</v>
      </c>
      <c r="D289" s="11">
        <v>43938</v>
      </c>
      <c r="E289" s="11">
        <v>43938</v>
      </c>
      <c r="F289" s="31">
        <v>12500000</v>
      </c>
      <c r="G289" s="32">
        <v>0</v>
      </c>
      <c r="H289" s="8" t="s">
        <v>580</v>
      </c>
      <c r="I289" s="12">
        <v>901212927</v>
      </c>
      <c r="J289" s="13" t="s">
        <v>581</v>
      </c>
      <c r="K289" s="14">
        <v>500</v>
      </c>
      <c r="L289" s="15" t="s">
        <v>250</v>
      </c>
      <c r="M289" s="16">
        <v>21008.403399999999</v>
      </c>
      <c r="N289" s="16">
        <f t="shared" si="12"/>
        <v>3991.596646</v>
      </c>
      <c r="O289" s="16">
        <f t="shared" si="11"/>
        <v>12500000.023</v>
      </c>
      <c r="P289" s="14" t="s">
        <v>21</v>
      </c>
    </row>
    <row r="290" spans="1:16" x14ac:dyDescent="0.3">
      <c r="A290" s="8" t="s">
        <v>544</v>
      </c>
      <c r="B290" s="9" t="s">
        <v>582</v>
      </c>
      <c r="C290" s="10" t="s">
        <v>583</v>
      </c>
      <c r="D290" s="11" t="s">
        <v>584</v>
      </c>
      <c r="E290" s="11" t="s">
        <v>584</v>
      </c>
      <c r="F290" s="31">
        <v>75000000</v>
      </c>
      <c r="G290" s="32">
        <v>0</v>
      </c>
      <c r="H290" s="8" t="s">
        <v>585</v>
      </c>
      <c r="I290" s="12">
        <v>900306020</v>
      </c>
      <c r="J290" s="13" t="s">
        <v>586</v>
      </c>
      <c r="K290" s="14">
        <v>30000</v>
      </c>
      <c r="L290" s="15" t="s">
        <v>1400</v>
      </c>
      <c r="M290" s="16">
        <v>2100.840336134454</v>
      </c>
      <c r="N290" s="16">
        <f t="shared" si="12"/>
        <v>399.15966386554624</v>
      </c>
      <c r="O290" s="16">
        <f t="shared" si="11"/>
        <v>75000000</v>
      </c>
      <c r="P290" s="14" t="s">
        <v>425</v>
      </c>
    </row>
    <row r="291" spans="1:16" x14ac:dyDescent="0.3">
      <c r="A291" s="8" t="s">
        <v>544</v>
      </c>
      <c r="B291" s="9" t="s">
        <v>587</v>
      </c>
      <c r="C291" s="10" t="s">
        <v>588</v>
      </c>
      <c r="D291" s="11">
        <v>43984</v>
      </c>
      <c r="E291" s="11">
        <v>43984</v>
      </c>
      <c r="F291" s="31">
        <v>4000000</v>
      </c>
      <c r="G291" s="32">
        <v>0</v>
      </c>
      <c r="H291" s="8" t="s">
        <v>589</v>
      </c>
      <c r="I291" s="12">
        <v>901059820</v>
      </c>
      <c r="J291" s="13" t="s">
        <v>590</v>
      </c>
      <c r="K291" s="14">
        <v>22</v>
      </c>
      <c r="L291" s="15" t="s">
        <v>250</v>
      </c>
      <c r="M291" s="16">
        <v>134453.78</v>
      </c>
      <c r="N291" s="16">
        <f t="shared" si="12"/>
        <v>25546.218199999999</v>
      </c>
      <c r="O291" s="16">
        <f t="shared" si="11"/>
        <v>3519999.9604000002</v>
      </c>
      <c r="P291" s="14" t="s">
        <v>1383</v>
      </c>
    </row>
    <row r="292" spans="1:16" x14ac:dyDescent="0.3">
      <c r="A292" s="8" t="s">
        <v>544</v>
      </c>
      <c r="B292" s="9" t="s">
        <v>587</v>
      </c>
      <c r="C292" s="10" t="s">
        <v>588</v>
      </c>
      <c r="D292" s="11">
        <v>43984</v>
      </c>
      <c r="E292" s="11">
        <v>43984</v>
      </c>
      <c r="F292" s="31">
        <v>4000000</v>
      </c>
      <c r="G292" s="32">
        <v>0</v>
      </c>
      <c r="H292" s="8" t="s">
        <v>589</v>
      </c>
      <c r="I292" s="12">
        <v>901059820</v>
      </c>
      <c r="J292" s="13" t="s">
        <v>591</v>
      </c>
      <c r="K292" s="24">
        <v>24</v>
      </c>
      <c r="L292" s="15" t="s">
        <v>172</v>
      </c>
      <c r="M292" s="16">
        <v>16806.73</v>
      </c>
      <c r="N292" s="16">
        <f t="shared" si="12"/>
        <v>3193.2786999999998</v>
      </c>
      <c r="O292" s="16">
        <f t="shared" si="11"/>
        <v>480000.20879999996</v>
      </c>
      <c r="P292" s="14" t="s">
        <v>34</v>
      </c>
    </row>
    <row r="293" spans="1:16" x14ac:dyDescent="0.3">
      <c r="A293" s="8" t="s">
        <v>544</v>
      </c>
      <c r="B293" s="9" t="s">
        <v>592</v>
      </c>
      <c r="C293" s="10" t="s">
        <v>593</v>
      </c>
      <c r="D293" s="11">
        <v>43986</v>
      </c>
      <c r="E293" s="11">
        <v>43986</v>
      </c>
      <c r="F293" s="31">
        <v>39927000</v>
      </c>
      <c r="G293" s="32">
        <v>0</v>
      </c>
      <c r="H293" s="8" t="s">
        <v>594</v>
      </c>
      <c r="I293" s="12">
        <v>901031972</v>
      </c>
      <c r="J293" s="13" t="s">
        <v>595</v>
      </c>
      <c r="K293" s="14">
        <v>50</v>
      </c>
      <c r="L293" s="15" t="s">
        <v>250</v>
      </c>
      <c r="M293" s="16">
        <v>300000</v>
      </c>
      <c r="N293" s="16">
        <f t="shared" si="12"/>
        <v>57000</v>
      </c>
      <c r="O293" s="16">
        <f t="shared" si="11"/>
        <v>17850000</v>
      </c>
      <c r="P293" s="14" t="s">
        <v>1285</v>
      </c>
    </row>
    <row r="294" spans="1:16" x14ac:dyDescent="0.3">
      <c r="A294" s="8" t="s">
        <v>544</v>
      </c>
      <c r="B294" s="9" t="s">
        <v>592</v>
      </c>
      <c r="C294" s="10" t="s">
        <v>593</v>
      </c>
      <c r="D294" s="11">
        <v>43986</v>
      </c>
      <c r="E294" s="11">
        <v>43986</v>
      </c>
      <c r="F294" s="31">
        <v>39927000</v>
      </c>
      <c r="G294" s="32">
        <v>0</v>
      </c>
      <c r="H294" s="8" t="s">
        <v>594</v>
      </c>
      <c r="I294" s="12">
        <v>901031972</v>
      </c>
      <c r="J294" s="13" t="s">
        <v>596</v>
      </c>
      <c r="K294" s="14">
        <v>3</v>
      </c>
      <c r="L294" s="15" t="s">
        <v>250</v>
      </c>
      <c r="M294" s="16">
        <v>1100000</v>
      </c>
      <c r="N294" s="16">
        <f t="shared" si="12"/>
        <v>209000</v>
      </c>
      <c r="O294" s="16">
        <f t="shared" si="11"/>
        <v>3927000</v>
      </c>
      <c r="P294" s="14" t="s">
        <v>1274</v>
      </c>
    </row>
    <row r="295" spans="1:16" x14ac:dyDescent="0.3">
      <c r="A295" s="8" t="s">
        <v>544</v>
      </c>
      <c r="B295" s="9" t="s">
        <v>592</v>
      </c>
      <c r="C295" s="10" t="s">
        <v>593</v>
      </c>
      <c r="D295" s="11">
        <v>43986</v>
      </c>
      <c r="E295" s="11">
        <v>43986</v>
      </c>
      <c r="F295" s="31">
        <v>39927000</v>
      </c>
      <c r="G295" s="32">
        <v>0</v>
      </c>
      <c r="H295" s="8" t="s">
        <v>594</v>
      </c>
      <c r="I295" s="12">
        <v>901031972</v>
      </c>
      <c r="J295" s="13" t="s">
        <v>60</v>
      </c>
      <c r="K295" s="14">
        <v>80</v>
      </c>
      <c r="L295" s="15" t="s">
        <v>531</v>
      </c>
      <c r="M295" s="16">
        <v>45000</v>
      </c>
      <c r="N295" s="16">
        <v>0</v>
      </c>
      <c r="O295" s="16">
        <f t="shared" si="11"/>
        <v>3600000</v>
      </c>
      <c r="P295" s="14" t="s">
        <v>59</v>
      </c>
    </row>
    <row r="296" spans="1:16" x14ac:dyDescent="0.3">
      <c r="A296" s="8" t="s">
        <v>544</v>
      </c>
      <c r="B296" s="9" t="s">
        <v>592</v>
      </c>
      <c r="C296" s="10" t="s">
        <v>593</v>
      </c>
      <c r="D296" s="11">
        <v>43986</v>
      </c>
      <c r="E296" s="11">
        <v>43986</v>
      </c>
      <c r="F296" s="31">
        <v>39927000</v>
      </c>
      <c r="G296" s="32">
        <v>0</v>
      </c>
      <c r="H296" s="8" t="s">
        <v>594</v>
      </c>
      <c r="I296" s="12">
        <v>901031972</v>
      </c>
      <c r="J296" s="13" t="s">
        <v>597</v>
      </c>
      <c r="K296" s="14">
        <v>300</v>
      </c>
      <c r="L296" s="15" t="s">
        <v>250</v>
      </c>
      <c r="M296" s="16">
        <v>10000</v>
      </c>
      <c r="N296" s="16">
        <v>0</v>
      </c>
      <c r="O296" s="16">
        <f t="shared" si="11"/>
        <v>3000000</v>
      </c>
      <c r="P296" s="14" t="s">
        <v>261</v>
      </c>
    </row>
    <row r="297" spans="1:16" x14ac:dyDescent="0.3">
      <c r="A297" s="8" t="s">
        <v>544</v>
      </c>
      <c r="B297" s="9" t="s">
        <v>592</v>
      </c>
      <c r="C297" s="10" t="s">
        <v>593</v>
      </c>
      <c r="D297" s="11">
        <v>43986</v>
      </c>
      <c r="E297" s="11">
        <v>43986</v>
      </c>
      <c r="F297" s="31">
        <v>39927000</v>
      </c>
      <c r="G297" s="32">
        <v>0</v>
      </c>
      <c r="H297" s="8" t="s">
        <v>594</v>
      </c>
      <c r="I297" s="12">
        <v>901031972</v>
      </c>
      <c r="J297" s="13" t="s">
        <v>598</v>
      </c>
      <c r="K297" s="14">
        <v>30</v>
      </c>
      <c r="L297" s="15" t="s">
        <v>250</v>
      </c>
      <c r="M297" s="16">
        <v>385000</v>
      </c>
      <c r="N297" s="16">
        <v>0</v>
      </c>
      <c r="O297" s="16">
        <f t="shared" si="11"/>
        <v>11550000</v>
      </c>
      <c r="P297" s="14" t="s">
        <v>136</v>
      </c>
    </row>
    <row r="298" spans="1:16" x14ac:dyDescent="0.3">
      <c r="A298" s="8" t="s">
        <v>544</v>
      </c>
      <c r="B298" s="9" t="s">
        <v>599</v>
      </c>
      <c r="C298" s="10" t="s">
        <v>600</v>
      </c>
      <c r="D298" s="11">
        <v>43987</v>
      </c>
      <c r="E298" s="11">
        <v>43987</v>
      </c>
      <c r="F298" s="31">
        <v>131250000</v>
      </c>
      <c r="G298" s="32">
        <v>0</v>
      </c>
      <c r="H298" s="8" t="s">
        <v>601</v>
      </c>
      <c r="I298" s="12">
        <v>901220553</v>
      </c>
      <c r="J298" s="13" t="s">
        <v>602</v>
      </c>
      <c r="K298" s="14">
        <v>72000</v>
      </c>
      <c r="L298" s="15" t="s">
        <v>250</v>
      </c>
      <c r="M298" s="16">
        <v>1150</v>
      </c>
      <c r="N298" s="16">
        <v>0</v>
      </c>
      <c r="O298" s="16">
        <f t="shared" si="11"/>
        <v>82800000</v>
      </c>
      <c r="P298" s="14" t="s">
        <v>95</v>
      </c>
    </row>
    <row r="299" spans="1:16" x14ac:dyDescent="0.3">
      <c r="A299" s="8" t="s">
        <v>544</v>
      </c>
      <c r="B299" s="9" t="s">
        <v>599</v>
      </c>
      <c r="C299" s="10" t="s">
        <v>600</v>
      </c>
      <c r="D299" s="11">
        <v>43987</v>
      </c>
      <c r="E299" s="11">
        <v>43987</v>
      </c>
      <c r="F299" s="31">
        <v>131250000</v>
      </c>
      <c r="G299" s="32">
        <v>0</v>
      </c>
      <c r="H299" s="8" t="s">
        <v>601</v>
      </c>
      <c r="I299" s="12">
        <v>901220553</v>
      </c>
      <c r="J299" s="13" t="s">
        <v>603</v>
      </c>
      <c r="K299" s="24">
        <v>1500</v>
      </c>
      <c r="L299" s="15" t="s">
        <v>172</v>
      </c>
      <c r="M299" s="16">
        <v>17800</v>
      </c>
      <c r="N299" s="16">
        <v>0</v>
      </c>
      <c r="O299" s="16">
        <f t="shared" si="11"/>
        <v>26700000</v>
      </c>
      <c r="P299" s="14" t="s">
        <v>1375</v>
      </c>
    </row>
    <row r="300" spans="1:16" x14ac:dyDescent="0.3">
      <c r="A300" s="8" t="s">
        <v>544</v>
      </c>
      <c r="B300" s="9" t="s">
        <v>599</v>
      </c>
      <c r="C300" s="10" t="s">
        <v>600</v>
      </c>
      <c r="D300" s="11">
        <v>43987</v>
      </c>
      <c r="E300" s="11">
        <v>43987</v>
      </c>
      <c r="F300" s="31">
        <v>131250000</v>
      </c>
      <c r="G300" s="32">
        <v>0</v>
      </c>
      <c r="H300" s="8" t="s">
        <v>601</v>
      </c>
      <c r="I300" s="12">
        <v>901220553</v>
      </c>
      <c r="J300" s="13" t="s">
        <v>604</v>
      </c>
      <c r="K300" s="24">
        <v>1500</v>
      </c>
      <c r="L300" s="15" t="s">
        <v>172</v>
      </c>
      <c r="M300" s="16">
        <v>14500</v>
      </c>
      <c r="N300" s="16">
        <v>0</v>
      </c>
      <c r="O300" s="16">
        <f t="shared" si="11"/>
        <v>21750000</v>
      </c>
      <c r="P300" s="14" t="s">
        <v>34</v>
      </c>
    </row>
    <row r="301" spans="1:16" x14ac:dyDescent="0.3">
      <c r="A301" s="8" t="s">
        <v>544</v>
      </c>
      <c r="B301" s="9" t="s">
        <v>605</v>
      </c>
      <c r="C301" s="10" t="s">
        <v>606</v>
      </c>
      <c r="D301" s="11">
        <v>43977</v>
      </c>
      <c r="E301" s="11">
        <v>43977</v>
      </c>
      <c r="F301" s="31">
        <v>30414385</v>
      </c>
      <c r="G301" s="32">
        <v>0</v>
      </c>
      <c r="H301" s="8" t="s">
        <v>607</v>
      </c>
      <c r="I301" s="12">
        <v>78761321</v>
      </c>
      <c r="J301" s="13" t="s">
        <v>606</v>
      </c>
      <c r="K301" s="14">
        <v>1</v>
      </c>
      <c r="L301" s="15" t="s">
        <v>608</v>
      </c>
      <c r="M301" s="16">
        <v>30188750</v>
      </c>
      <c r="N301" s="16">
        <v>225635</v>
      </c>
      <c r="O301" s="16">
        <f t="shared" si="11"/>
        <v>30414385</v>
      </c>
      <c r="P301" s="14" t="s">
        <v>1402</v>
      </c>
    </row>
    <row r="302" spans="1:16" x14ac:dyDescent="0.3">
      <c r="A302" s="8" t="s">
        <v>544</v>
      </c>
      <c r="B302" s="9" t="s">
        <v>609</v>
      </c>
      <c r="C302" s="10" t="s">
        <v>610</v>
      </c>
      <c r="D302" s="11">
        <v>43998</v>
      </c>
      <c r="E302" s="11">
        <v>43998</v>
      </c>
      <c r="F302" s="31">
        <v>139955340</v>
      </c>
      <c r="G302" s="32">
        <v>0</v>
      </c>
      <c r="H302" s="8" t="s">
        <v>611</v>
      </c>
      <c r="I302" s="12">
        <v>812002952</v>
      </c>
      <c r="J302" s="13" t="s">
        <v>1428</v>
      </c>
      <c r="K302" s="14">
        <v>14</v>
      </c>
      <c r="L302" s="15" t="s">
        <v>1281</v>
      </c>
      <c r="M302" s="16">
        <v>1666135</v>
      </c>
      <c r="N302" s="16">
        <v>0</v>
      </c>
      <c r="O302" s="16">
        <f>K302*(M302+N302)*6</f>
        <v>139955340</v>
      </c>
      <c r="P302" s="14" t="s">
        <v>1282</v>
      </c>
    </row>
    <row r="303" spans="1:16" x14ac:dyDescent="0.3">
      <c r="A303" s="8" t="s">
        <v>544</v>
      </c>
      <c r="B303" s="9" t="s">
        <v>612</v>
      </c>
      <c r="C303" s="10" t="s">
        <v>613</v>
      </c>
      <c r="D303" s="11">
        <v>43973</v>
      </c>
      <c r="E303" s="11">
        <v>43973</v>
      </c>
      <c r="F303" s="31">
        <v>28720000</v>
      </c>
      <c r="G303" s="32">
        <v>0</v>
      </c>
      <c r="H303" s="8" t="s">
        <v>614</v>
      </c>
      <c r="I303" s="12">
        <v>15354493</v>
      </c>
      <c r="J303" s="13" t="s">
        <v>615</v>
      </c>
      <c r="K303" s="14">
        <v>630</v>
      </c>
      <c r="L303" s="15" t="s">
        <v>531</v>
      </c>
      <c r="M303" s="16">
        <v>45000</v>
      </c>
      <c r="N303" s="16">
        <v>0</v>
      </c>
      <c r="O303" s="16">
        <f t="shared" si="11"/>
        <v>28350000</v>
      </c>
      <c r="P303" s="14" t="s">
        <v>59</v>
      </c>
    </row>
    <row r="304" spans="1:16" x14ac:dyDescent="0.3">
      <c r="A304" s="8" t="s">
        <v>544</v>
      </c>
      <c r="B304" s="9" t="s">
        <v>612</v>
      </c>
      <c r="C304" s="10" t="s">
        <v>613</v>
      </c>
      <c r="D304" s="11">
        <v>43973</v>
      </c>
      <c r="E304" s="11">
        <v>43973</v>
      </c>
      <c r="F304" s="31">
        <v>28720000</v>
      </c>
      <c r="G304" s="32">
        <v>0</v>
      </c>
      <c r="H304" s="8" t="s">
        <v>614</v>
      </c>
      <c r="I304" s="12">
        <v>15354493</v>
      </c>
      <c r="J304" s="13" t="s">
        <v>615</v>
      </c>
      <c r="K304" s="14">
        <v>4</v>
      </c>
      <c r="L304" s="15" t="s">
        <v>531</v>
      </c>
      <c r="M304" s="16">
        <v>25000</v>
      </c>
      <c r="N304" s="16">
        <v>0</v>
      </c>
      <c r="O304" s="16">
        <f t="shared" si="11"/>
        <v>100000</v>
      </c>
      <c r="P304" s="14" t="s">
        <v>59</v>
      </c>
    </row>
    <row r="305" spans="1:16" x14ac:dyDescent="0.3">
      <c r="A305" s="8" t="s">
        <v>544</v>
      </c>
      <c r="B305" s="9" t="s">
        <v>612</v>
      </c>
      <c r="C305" s="10" t="s">
        <v>613</v>
      </c>
      <c r="D305" s="11">
        <v>43973</v>
      </c>
      <c r="E305" s="11">
        <v>43973</v>
      </c>
      <c r="F305" s="31">
        <v>28720000</v>
      </c>
      <c r="G305" s="32">
        <v>0</v>
      </c>
      <c r="H305" s="8" t="s">
        <v>614</v>
      </c>
      <c r="I305" s="12">
        <v>15354493</v>
      </c>
      <c r="J305" s="13" t="s">
        <v>616</v>
      </c>
      <c r="K305" s="14">
        <v>5</v>
      </c>
      <c r="L305" s="15" t="s">
        <v>1246</v>
      </c>
      <c r="M305" s="16">
        <f>184.874*100</f>
        <v>18487.399999999998</v>
      </c>
      <c r="N305" s="16">
        <f t="shared" ref="N305:N314" si="13">M305*0.19</f>
        <v>3512.6059999999998</v>
      </c>
      <c r="O305" s="16">
        <f t="shared" si="11"/>
        <v>110000.02999999998</v>
      </c>
      <c r="P305" s="14" t="s">
        <v>1387</v>
      </c>
    </row>
    <row r="306" spans="1:16" x14ac:dyDescent="0.3">
      <c r="A306" s="8" t="s">
        <v>544</v>
      </c>
      <c r="B306" s="9" t="s">
        <v>612</v>
      </c>
      <c r="C306" s="10" t="s">
        <v>613</v>
      </c>
      <c r="D306" s="11">
        <v>43973</v>
      </c>
      <c r="E306" s="11">
        <v>43973</v>
      </c>
      <c r="F306" s="31">
        <v>28720000</v>
      </c>
      <c r="G306" s="32">
        <v>0</v>
      </c>
      <c r="H306" s="8" t="s">
        <v>614</v>
      </c>
      <c r="I306" s="12">
        <v>15354493</v>
      </c>
      <c r="J306" s="13" t="s">
        <v>617</v>
      </c>
      <c r="K306" s="14">
        <v>5</v>
      </c>
      <c r="L306" s="15" t="s">
        <v>1246</v>
      </c>
      <c r="M306" s="16">
        <v>26890.76</v>
      </c>
      <c r="N306" s="16">
        <f t="shared" si="13"/>
        <v>5109.2443999999996</v>
      </c>
      <c r="O306" s="16">
        <f t="shared" si="11"/>
        <v>160000.022</v>
      </c>
      <c r="P306" s="14" t="s">
        <v>1387</v>
      </c>
    </row>
    <row r="307" spans="1:16" x14ac:dyDescent="0.3">
      <c r="A307" s="8" t="s">
        <v>544</v>
      </c>
      <c r="B307" s="9" t="s">
        <v>618</v>
      </c>
      <c r="C307" s="10" t="s">
        <v>619</v>
      </c>
      <c r="D307" s="11">
        <v>43980</v>
      </c>
      <c r="E307" s="11">
        <v>43980</v>
      </c>
      <c r="F307" s="31">
        <v>64800000</v>
      </c>
      <c r="G307" s="32">
        <v>0</v>
      </c>
      <c r="H307" s="8" t="s">
        <v>620</v>
      </c>
      <c r="I307" s="12">
        <v>901315614</v>
      </c>
      <c r="J307" s="13" t="s">
        <v>621</v>
      </c>
      <c r="K307" s="14">
        <v>160</v>
      </c>
      <c r="L307" s="15" t="s">
        <v>250</v>
      </c>
      <c r="M307" s="16">
        <v>176470.59</v>
      </c>
      <c r="N307" s="16">
        <f t="shared" si="13"/>
        <v>33529.412100000001</v>
      </c>
      <c r="O307" s="16">
        <f t="shared" si="11"/>
        <v>33600000.335999995</v>
      </c>
      <c r="P307" s="14" t="s">
        <v>164</v>
      </c>
    </row>
    <row r="308" spans="1:16" x14ac:dyDescent="0.3">
      <c r="A308" s="8" t="s">
        <v>544</v>
      </c>
      <c r="B308" s="9" t="s">
        <v>618</v>
      </c>
      <c r="C308" s="10" t="s">
        <v>619</v>
      </c>
      <c r="D308" s="11">
        <v>43980</v>
      </c>
      <c r="E308" s="11">
        <v>43980</v>
      </c>
      <c r="F308" s="31">
        <v>64800000</v>
      </c>
      <c r="G308" s="32">
        <v>0</v>
      </c>
      <c r="H308" s="8" t="s">
        <v>620</v>
      </c>
      <c r="I308" s="12">
        <v>901315614</v>
      </c>
      <c r="J308" s="13" t="s">
        <v>622</v>
      </c>
      <c r="K308" s="14">
        <v>160</v>
      </c>
      <c r="L308" s="15" t="s">
        <v>250</v>
      </c>
      <c r="M308" s="16">
        <v>163865.54999999999</v>
      </c>
      <c r="N308" s="16">
        <f t="shared" si="13"/>
        <v>31134.4545</v>
      </c>
      <c r="O308" s="16">
        <f t="shared" si="11"/>
        <v>31200000.719999999</v>
      </c>
      <c r="P308" s="14" t="s">
        <v>162</v>
      </c>
    </row>
    <row r="309" spans="1:16" x14ac:dyDescent="0.3">
      <c r="A309" s="8" t="s">
        <v>623</v>
      </c>
      <c r="B309" s="9" t="s">
        <v>624</v>
      </c>
      <c r="C309" s="10" t="s">
        <v>625</v>
      </c>
      <c r="D309" s="11">
        <v>43909</v>
      </c>
      <c r="E309" s="11">
        <v>43915</v>
      </c>
      <c r="F309" s="31">
        <v>92450981</v>
      </c>
      <c r="G309" s="32">
        <v>0</v>
      </c>
      <c r="H309" s="8" t="s">
        <v>626</v>
      </c>
      <c r="I309" s="12">
        <v>813005241</v>
      </c>
      <c r="J309" s="13" t="s">
        <v>627</v>
      </c>
      <c r="K309" s="14">
        <v>400</v>
      </c>
      <c r="L309" s="15" t="s">
        <v>250</v>
      </c>
      <c r="M309" s="16">
        <v>16807</v>
      </c>
      <c r="N309" s="16">
        <f t="shared" si="13"/>
        <v>3193.33</v>
      </c>
      <c r="O309" s="16">
        <f t="shared" si="11"/>
        <v>8000132.0000000009</v>
      </c>
      <c r="P309" s="14" t="s">
        <v>21</v>
      </c>
    </row>
    <row r="310" spans="1:16" x14ac:dyDescent="0.3">
      <c r="A310" s="8" t="s">
        <v>623</v>
      </c>
      <c r="B310" s="9" t="s">
        <v>624</v>
      </c>
      <c r="C310" s="10" t="s">
        <v>625</v>
      </c>
      <c r="D310" s="11">
        <v>43909</v>
      </c>
      <c r="E310" s="11">
        <v>43915</v>
      </c>
      <c r="F310" s="31">
        <v>92450981</v>
      </c>
      <c r="G310" s="32">
        <v>0</v>
      </c>
      <c r="H310" s="8" t="s">
        <v>626</v>
      </c>
      <c r="I310" s="12">
        <v>813005241</v>
      </c>
      <c r="J310" s="13" t="s">
        <v>628</v>
      </c>
      <c r="K310" s="14">
        <v>300</v>
      </c>
      <c r="L310" s="15" t="s">
        <v>531</v>
      </c>
      <c r="M310" s="16">
        <v>42017</v>
      </c>
      <c r="N310" s="16">
        <f t="shared" si="13"/>
        <v>7983.2300000000005</v>
      </c>
      <c r="O310" s="16">
        <f t="shared" si="11"/>
        <v>15000069.000000002</v>
      </c>
      <c r="P310" s="14" t="s">
        <v>59</v>
      </c>
    </row>
    <row r="311" spans="1:16" x14ac:dyDescent="0.3">
      <c r="A311" s="8" t="s">
        <v>623</v>
      </c>
      <c r="B311" s="9" t="s">
        <v>624</v>
      </c>
      <c r="C311" s="10" t="s">
        <v>625</v>
      </c>
      <c r="D311" s="11">
        <v>43909</v>
      </c>
      <c r="E311" s="11">
        <v>43915</v>
      </c>
      <c r="F311" s="31">
        <v>92450981</v>
      </c>
      <c r="G311" s="32">
        <v>0</v>
      </c>
      <c r="H311" s="8" t="s">
        <v>626</v>
      </c>
      <c r="I311" s="12">
        <v>813005241</v>
      </c>
      <c r="J311" s="13" t="s">
        <v>629</v>
      </c>
      <c r="K311" s="14">
        <v>300</v>
      </c>
      <c r="L311" s="15" t="s">
        <v>531</v>
      </c>
      <c r="M311" s="16">
        <v>42017</v>
      </c>
      <c r="N311" s="16">
        <f t="shared" si="13"/>
        <v>7983.2300000000005</v>
      </c>
      <c r="O311" s="16">
        <f t="shared" si="11"/>
        <v>15000069.000000002</v>
      </c>
      <c r="P311" s="14" t="s">
        <v>59</v>
      </c>
    </row>
    <row r="312" spans="1:16" x14ac:dyDescent="0.3">
      <c r="A312" s="8" t="s">
        <v>623</v>
      </c>
      <c r="B312" s="9" t="s">
        <v>624</v>
      </c>
      <c r="C312" s="10" t="s">
        <v>625</v>
      </c>
      <c r="D312" s="11">
        <v>43909</v>
      </c>
      <c r="E312" s="11">
        <v>43915</v>
      </c>
      <c r="F312" s="31">
        <v>92450981</v>
      </c>
      <c r="G312" s="32">
        <v>0</v>
      </c>
      <c r="H312" s="8" t="s">
        <v>626</v>
      </c>
      <c r="I312" s="12">
        <v>813005241</v>
      </c>
      <c r="J312" s="13" t="s">
        <v>630</v>
      </c>
      <c r="K312" s="14">
        <v>1500</v>
      </c>
      <c r="L312" s="15" t="s">
        <v>1277</v>
      </c>
      <c r="M312" s="16">
        <v>6975</v>
      </c>
      <c r="N312" s="16">
        <f t="shared" si="13"/>
        <v>1325.25</v>
      </c>
      <c r="O312" s="16">
        <f t="shared" si="11"/>
        <v>12450375</v>
      </c>
      <c r="P312" s="14" t="s">
        <v>94</v>
      </c>
    </row>
    <row r="313" spans="1:16" x14ac:dyDescent="0.3">
      <c r="A313" s="8" t="s">
        <v>623</v>
      </c>
      <c r="B313" s="9" t="s">
        <v>624</v>
      </c>
      <c r="C313" s="10" t="s">
        <v>625</v>
      </c>
      <c r="D313" s="11">
        <v>43909</v>
      </c>
      <c r="E313" s="11">
        <v>43915</v>
      </c>
      <c r="F313" s="31">
        <v>92450981</v>
      </c>
      <c r="G313" s="32">
        <v>0</v>
      </c>
      <c r="H313" s="8" t="s">
        <v>626</v>
      </c>
      <c r="I313" s="12">
        <v>813005241</v>
      </c>
      <c r="J313" s="13" t="s">
        <v>33</v>
      </c>
      <c r="K313" s="24">
        <v>2280</v>
      </c>
      <c r="L313" s="15" t="s">
        <v>172</v>
      </c>
      <c r="M313" s="16">
        <v>15480</v>
      </c>
      <c r="N313" s="16">
        <f t="shared" si="13"/>
        <v>2941.2</v>
      </c>
      <c r="O313" s="16">
        <f t="shared" si="11"/>
        <v>42000336</v>
      </c>
      <c r="P313" s="14" t="s">
        <v>34</v>
      </c>
    </row>
    <row r="314" spans="1:16" x14ac:dyDescent="0.3">
      <c r="A314" s="8" t="s">
        <v>623</v>
      </c>
      <c r="B314" s="9" t="s">
        <v>631</v>
      </c>
      <c r="C314" s="10" t="s">
        <v>625</v>
      </c>
      <c r="D314" s="11">
        <v>43910</v>
      </c>
      <c r="E314" s="11">
        <v>43920</v>
      </c>
      <c r="F314" s="31">
        <v>20230000</v>
      </c>
      <c r="G314" s="32">
        <v>0</v>
      </c>
      <c r="H314" s="8" t="s">
        <v>632</v>
      </c>
      <c r="I314" s="12">
        <v>51684220</v>
      </c>
      <c r="J314" s="13" t="s">
        <v>633</v>
      </c>
      <c r="K314" s="14">
        <v>10</v>
      </c>
      <c r="L314" s="15" t="s">
        <v>250</v>
      </c>
      <c r="M314" s="16">
        <v>1700000</v>
      </c>
      <c r="N314" s="16">
        <f t="shared" si="13"/>
        <v>323000</v>
      </c>
      <c r="O314" s="16">
        <f t="shared" si="11"/>
        <v>20230000</v>
      </c>
      <c r="P314" s="14" t="s">
        <v>1274</v>
      </c>
    </row>
    <row r="315" spans="1:16" x14ac:dyDescent="0.3">
      <c r="A315" s="8" t="s">
        <v>623</v>
      </c>
      <c r="B315" s="9" t="s">
        <v>634</v>
      </c>
      <c r="C315" s="10" t="s">
        <v>625</v>
      </c>
      <c r="D315" s="11">
        <v>43910</v>
      </c>
      <c r="E315" s="11">
        <v>43915</v>
      </c>
      <c r="F315" s="31">
        <v>15600000</v>
      </c>
      <c r="G315" s="32">
        <v>0</v>
      </c>
      <c r="H315" s="8" t="s">
        <v>635</v>
      </c>
      <c r="I315" s="12">
        <v>900920737</v>
      </c>
      <c r="J315" s="13" t="s">
        <v>636</v>
      </c>
      <c r="K315" s="14">
        <v>6240</v>
      </c>
      <c r="L315" s="15" t="s">
        <v>250</v>
      </c>
      <c r="M315" s="16">
        <v>2500</v>
      </c>
      <c r="N315" s="16">
        <v>0</v>
      </c>
      <c r="O315" s="16">
        <f t="shared" si="11"/>
        <v>15600000</v>
      </c>
      <c r="P315" s="14" t="s">
        <v>95</v>
      </c>
    </row>
    <row r="316" spans="1:16" x14ac:dyDescent="0.3">
      <c r="A316" s="8" t="s">
        <v>623</v>
      </c>
      <c r="B316" s="9" t="s">
        <v>637</v>
      </c>
      <c r="C316" s="10" t="s">
        <v>625</v>
      </c>
      <c r="D316" s="11">
        <v>43920</v>
      </c>
      <c r="E316" s="11">
        <v>43922</v>
      </c>
      <c r="F316" s="31">
        <v>12050000</v>
      </c>
      <c r="G316" s="32">
        <v>0</v>
      </c>
      <c r="H316" s="8" t="s">
        <v>638</v>
      </c>
      <c r="I316" s="12">
        <v>901002888</v>
      </c>
      <c r="J316" s="13" t="s">
        <v>33</v>
      </c>
      <c r="K316" s="24">
        <v>300</v>
      </c>
      <c r="L316" s="15" t="s">
        <v>172</v>
      </c>
      <c r="M316" s="16">
        <v>18000</v>
      </c>
      <c r="N316" s="16">
        <v>0</v>
      </c>
      <c r="O316" s="16">
        <f t="shared" si="11"/>
        <v>5400000</v>
      </c>
      <c r="P316" s="14" t="s">
        <v>34</v>
      </c>
    </row>
    <row r="317" spans="1:16" x14ac:dyDescent="0.3">
      <c r="A317" s="8" t="s">
        <v>623</v>
      </c>
      <c r="B317" s="9" t="s">
        <v>637</v>
      </c>
      <c r="C317" s="10" t="s">
        <v>625</v>
      </c>
      <c r="D317" s="11">
        <v>43920</v>
      </c>
      <c r="E317" s="11">
        <v>43922</v>
      </c>
      <c r="F317" s="31">
        <v>12050000</v>
      </c>
      <c r="G317" s="32">
        <v>0</v>
      </c>
      <c r="H317" s="8" t="s">
        <v>638</v>
      </c>
      <c r="I317" s="12">
        <v>901002888</v>
      </c>
      <c r="J317" s="13" t="s">
        <v>639</v>
      </c>
      <c r="K317" s="14">
        <v>700</v>
      </c>
      <c r="L317" s="15" t="s">
        <v>172</v>
      </c>
      <c r="M317" s="16">
        <v>9500</v>
      </c>
      <c r="N317" s="16">
        <v>0</v>
      </c>
      <c r="O317" s="16">
        <f t="shared" si="11"/>
        <v>6650000</v>
      </c>
      <c r="P317" s="14" t="s">
        <v>36</v>
      </c>
    </row>
    <row r="318" spans="1:16" x14ac:dyDescent="0.3">
      <c r="A318" s="8" t="s">
        <v>623</v>
      </c>
      <c r="B318" s="9" t="s">
        <v>640</v>
      </c>
      <c r="C318" s="10" t="s">
        <v>625</v>
      </c>
      <c r="D318" s="11">
        <v>43920</v>
      </c>
      <c r="E318" s="11">
        <v>43922</v>
      </c>
      <c r="F318" s="31">
        <v>26949480</v>
      </c>
      <c r="G318" s="32">
        <v>0</v>
      </c>
      <c r="H318" s="8" t="s">
        <v>641</v>
      </c>
      <c r="I318" s="12">
        <v>900916649</v>
      </c>
      <c r="J318" s="13" t="s">
        <v>1457</v>
      </c>
      <c r="K318" s="24">
        <v>445</v>
      </c>
      <c r="L318" s="15" t="s">
        <v>172</v>
      </c>
      <c r="M318" s="16">
        <v>17864</v>
      </c>
      <c r="N318" s="16">
        <v>0</v>
      </c>
      <c r="O318" s="16">
        <f t="shared" si="11"/>
        <v>7949480</v>
      </c>
      <c r="P318" s="14" t="s">
        <v>96</v>
      </c>
    </row>
    <row r="319" spans="1:16" x14ac:dyDescent="0.3">
      <c r="A319" s="8" t="s">
        <v>623</v>
      </c>
      <c r="B319" s="9" t="s">
        <v>640</v>
      </c>
      <c r="C319" s="10" t="s">
        <v>625</v>
      </c>
      <c r="D319" s="11">
        <v>43920</v>
      </c>
      <c r="E319" s="11">
        <v>43922</v>
      </c>
      <c r="F319" s="31">
        <v>26949480</v>
      </c>
      <c r="G319" s="32">
        <v>0</v>
      </c>
      <c r="H319" s="8" t="s">
        <v>641</v>
      </c>
      <c r="I319" s="12">
        <v>900916649</v>
      </c>
      <c r="J319" s="13" t="s">
        <v>642</v>
      </c>
      <c r="K319" s="14">
        <v>400</v>
      </c>
      <c r="L319" s="15" t="s">
        <v>172</v>
      </c>
      <c r="M319" s="16">
        <f>190000/4</f>
        <v>47500</v>
      </c>
      <c r="N319" s="16">
        <v>0</v>
      </c>
      <c r="O319" s="16">
        <f t="shared" ref="O319:O382" si="14">K319*(M319+N319)</f>
        <v>19000000</v>
      </c>
      <c r="P319" s="14" t="s">
        <v>1398</v>
      </c>
    </row>
    <row r="320" spans="1:16" x14ac:dyDescent="0.3">
      <c r="A320" s="8" t="s">
        <v>623</v>
      </c>
      <c r="B320" s="9" t="s">
        <v>644</v>
      </c>
      <c r="C320" s="10" t="s">
        <v>645</v>
      </c>
      <c r="D320" s="11">
        <v>43971</v>
      </c>
      <c r="E320" s="11">
        <v>43978</v>
      </c>
      <c r="F320" s="31">
        <v>38340000</v>
      </c>
      <c r="G320" s="32">
        <v>0</v>
      </c>
      <c r="H320" s="8" t="s">
        <v>626</v>
      </c>
      <c r="I320" s="12">
        <v>813005241</v>
      </c>
      <c r="J320" s="13" t="s">
        <v>646</v>
      </c>
      <c r="K320" s="14">
        <v>99</v>
      </c>
      <c r="L320" s="15" t="s">
        <v>531</v>
      </c>
      <c r="M320" s="16">
        <v>40000</v>
      </c>
      <c r="N320" s="16">
        <v>0</v>
      </c>
      <c r="O320" s="16">
        <f t="shared" si="14"/>
        <v>3960000</v>
      </c>
      <c r="P320" s="14" t="s">
        <v>59</v>
      </c>
    </row>
    <row r="321" spans="1:16" x14ac:dyDescent="0.3">
      <c r="A321" s="8" t="s">
        <v>623</v>
      </c>
      <c r="B321" s="9" t="s">
        <v>644</v>
      </c>
      <c r="C321" s="10" t="s">
        <v>645</v>
      </c>
      <c r="D321" s="11">
        <v>43971</v>
      </c>
      <c r="E321" s="11">
        <v>43978</v>
      </c>
      <c r="F321" s="31">
        <v>38340000</v>
      </c>
      <c r="G321" s="32">
        <v>0</v>
      </c>
      <c r="H321" s="8" t="s">
        <v>626</v>
      </c>
      <c r="I321" s="12">
        <v>813005241</v>
      </c>
      <c r="J321" s="13" t="s">
        <v>647</v>
      </c>
      <c r="K321" s="14">
        <v>3500</v>
      </c>
      <c r="L321" s="15" t="s">
        <v>1277</v>
      </c>
      <c r="M321" s="16">
        <v>5200</v>
      </c>
      <c r="N321" s="16">
        <v>0</v>
      </c>
      <c r="O321" s="16">
        <f t="shared" si="14"/>
        <v>18200000</v>
      </c>
      <c r="P321" s="14" t="s">
        <v>94</v>
      </c>
    </row>
    <row r="322" spans="1:16" x14ac:dyDescent="0.3">
      <c r="A322" s="8" t="s">
        <v>623</v>
      </c>
      <c r="B322" s="9" t="s">
        <v>644</v>
      </c>
      <c r="C322" s="10" t="s">
        <v>645</v>
      </c>
      <c r="D322" s="11">
        <v>43971</v>
      </c>
      <c r="E322" s="11">
        <v>43978</v>
      </c>
      <c r="F322" s="31">
        <v>38340000</v>
      </c>
      <c r="G322" s="32">
        <v>0</v>
      </c>
      <c r="H322" s="8" t="s">
        <v>626</v>
      </c>
      <c r="I322" s="12">
        <v>813005241</v>
      </c>
      <c r="J322" s="13" t="s">
        <v>648</v>
      </c>
      <c r="K322" s="14">
        <v>600</v>
      </c>
      <c r="L322" s="15" t="s">
        <v>250</v>
      </c>
      <c r="M322" s="16">
        <v>7000</v>
      </c>
      <c r="N322" s="16">
        <v>0</v>
      </c>
      <c r="O322" s="16">
        <f t="shared" si="14"/>
        <v>4200000</v>
      </c>
      <c r="P322" s="14" t="s">
        <v>261</v>
      </c>
    </row>
    <row r="323" spans="1:16" x14ac:dyDescent="0.3">
      <c r="A323" s="8" t="s">
        <v>623</v>
      </c>
      <c r="B323" s="9" t="s">
        <v>644</v>
      </c>
      <c r="C323" s="10" t="s">
        <v>645</v>
      </c>
      <c r="D323" s="11">
        <v>43971</v>
      </c>
      <c r="E323" s="11">
        <v>43978</v>
      </c>
      <c r="F323" s="31">
        <v>38340000</v>
      </c>
      <c r="G323" s="32">
        <v>0</v>
      </c>
      <c r="H323" s="8" t="s">
        <v>626</v>
      </c>
      <c r="I323" s="12">
        <v>813005241</v>
      </c>
      <c r="J323" s="13" t="s">
        <v>649</v>
      </c>
      <c r="K323" s="14">
        <v>8</v>
      </c>
      <c r="L323" s="15" t="s">
        <v>250</v>
      </c>
      <c r="M323" s="16">
        <v>360000</v>
      </c>
      <c r="N323" s="16">
        <v>0</v>
      </c>
      <c r="O323" s="16">
        <f t="shared" si="14"/>
        <v>2880000</v>
      </c>
      <c r="P323" s="14" t="s">
        <v>136</v>
      </c>
    </row>
    <row r="324" spans="1:16" x14ac:dyDescent="0.3">
      <c r="A324" s="8" t="s">
        <v>623</v>
      </c>
      <c r="B324" s="9" t="s">
        <v>644</v>
      </c>
      <c r="C324" s="10" t="s">
        <v>645</v>
      </c>
      <c r="D324" s="11">
        <v>43971</v>
      </c>
      <c r="E324" s="11">
        <v>43978</v>
      </c>
      <c r="F324" s="31">
        <v>38340000</v>
      </c>
      <c r="G324" s="32">
        <v>0</v>
      </c>
      <c r="H324" s="8" t="s">
        <v>626</v>
      </c>
      <c r="I324" s="12">
        <v>813005241</v>
      </c>
      <c r="J324" s="13" t="s">
        <v>650</v>
      </c>
      <c r="K324" s="14">
        <v>7</v>
      </c>
      <c r="L324" s="15" t="s">
        <v>250</v>
      </c>
      <c r="M324" s="16">
        <v>1300000</v>
      </c>
      <c r="N324" s="16">
        <v>0</v>
      </c>
      <c r="O324" s="16">
        <f t="shared" si="14"/>
        <v>9100000</v>
      </c>
      <c r="P324" s="14" t="s">
        <v>136</v>
      </c>
    </row>
    <row r="325" spans="1:16" x14ac:dyDescent="0.3">
      <c r="A325" s="8" t="s">
        <v>623</v>
      </c>
      <c r="B325" s="9" t="s">
        <v>651</v>
      </c>
      <c r="C325" s="10" t="s">
        <v>645</v>
      </c>
      <c r="D325" s="11">
        <v>43971</v>
      </c>
      <c r="E325" s="11">
        <v>43978</v>
      </c>
      <c r="F325" s="31">
        <v>9683640</v>
      </c>
      <c r="G325" s="32">
        <v>0</v>
      </c>
      <c r="H325" s="8" t="s">
        <v>652</v>
      </c>
      <c r="I325" s="12">
        <v>830094214</v>
      </c>
      <c r="J325" s="13" t="s">
        <v>653</v>
      </c>
      <c r="K325" s="24">
        <v>342</v>
      </c>
      <c r="L325" s="15" t="s">
        <v>172</v>
      </c>
      <c r="M325" s="16">
        <v>13500</v>
      </c>
      <c r="N325" s="16">
        <v>0</v>
      </c>
      <c r="O325" s="16">
        <f t="shared" si="14"/>
        <v>4617000</v>
      </c>
      <c r="P325" s="14" t="s">
        <v>34</v>
      </c>
    </row>
    <row r="326" spans="1:16" x14ac:dyDescent="0.3">
      <c r="A326" s="8" t="s">
        <v>623</v>
      </c>
      <c r="B326" s="9" t="s">
        <v>651</v>
      </c>
      <c r="C326" s="10" t="s">
        <v>645</v>
      </c>
      <c r="D326" s="11">
        <v>43971</v>
      </c>
      <c r="E326" s="11">
        <v>43978</v>
      </c>
      <c r="F326" s="31">
        <v>9683640</v>
      </c>
      <c r="G326" s="32">
        <v>0</v>
      </c>
      <c r="H326" s="8" t="s">
        <v>652</v>
      </c>
      <c r="I326" s="12">
        <v>830094214</v>
      </c>
      <c r="J326" s="13" t="s">
        <v>654</v>
      </c>
      <c r="K326" s="14">
        <v>40</v>
      </c>
      <c r="L326" s="15" t="s">
        <v>250</v>
      </c>
      <c r="M326" s="16">
        <v>76666</v>
      </c>
      <c r="N326" s="16">
        <v>0</v>
      </c>
      <c r="O326" s="16">
        <f t="shared" si="14"/>
        <v>3066640</v>
      </c>
      <c r="P326" s="14" t="s">
        <v>1383</v>
      </c>
    </row>
    <row r="327" spans="1:16" x14ac:dyDescent="0.3">
      <c r="A327" s="8" t="s">
        <v>623</v>
      </c>
      <c r="B327" s="9" t="s">
        <v>651</v>
      </c>
      <c r="C327" s="10" t="s">
        <v>645</v>
      </c>
      <c r="D327" s="11">
        <v>43971</v>
      </c>
      <c r="E327" s="11">
        <v>43978</v>
      </c>
      <c r="F327" s="31">
        <v>9683640</v>
      </c>
      <c r="G327" s="32">
        <v>0</v>
      </c>
      <c r="H327" s="8" t="s">
        <v>652</v>
      </c>
      <c r="I327" s="12">
        <v>830094214</v>
      </c>
      <c r="J327" s="13" t="s">
        <v>655</v>
      </c>
      <c r="K327" s="14">
        <v>40</v>
      </c>
      <c r="L327" s="15" t="s">
        <v>250</v>
      </c>
      <c r="M327" s="16">
        <v>50000</v>
      </c>
      <c r="N327" s="16">
        <v>0</v>
      </c>
      <c r="O327" s="16">
        <f t="shared" si="14"/>
        <v>2000000</v>
      </c>
      <c r="P327" s="14" t="s">
        <v>1383</v>
      </c>
    </row>
    <row r="328" spans="1:16" x14ac:dyDescent="0.3">
      <c r="A328" s="8" t="s">
        <v>623</v>
      </c>
      <c r="B328" s="9" t="s">
        <v>656</v>
      </c>
      <c r="C328" s="10" t="s">
        <v>645</v>
      </c>
      <c r="D328" s="11">
        <v>43973</v>
      </c>
      <c r="E328" s="11">
        <v>43978</v>
      </c>
      <c r="F328" s="31">
        <v>9978900</v>
      </c>
      <c r="G328" s="32">
        <v>0</v>
      </c>
      <c r="H328" s="8" t="s">
        <v>657</v>
      </c>
      <c r="I328" s="12">
        <v>900347045</v>
      </c>
      <c r="J328" s="13" t="s">
        <v>658</v>
      </c>
      <c r="K328" s="14">
        <v>6</v>
      </c>
      <c r="L328" s="15" t="s">
        <v>250</v>
      </c>
      <c r="M328" s="16">
        <v>1085000</v>
      </c>
      <c r="N328" s="16">
        <f>M328*0.19</f>
        <v>206150</v>
      </c>
      <c r="O328" s="16">
        <f t="shared" si="14"/>
        <v>7746900</v>
      </c>
      <c r="P328" s="14" t="s">
        <v>1274</v>
      </c>
    </row>
    <row r="329" spans="1:16" x14ac:dyDescent="0.3">
      <c r="A329" s="8" t="s">
        <v>623</v>
      </c>
      <c r="B329" s="9" t="s">
        <v>656</v>
      </c>
      <c r="C329" s="10" t="s">
        <v>645</v>
      </c>
      <c r="D329" s="11">
        <v>43973</v>
      </c>
      <c r="E329" s="11">
        <v>43978</v>
      </c>
      <c r="F329" s="31">
        <v>9978900</v>
      </c>
      <c r="G329" s="32">
        <v>0</v>
      </c>
      <c r="H329" s="8" t="s">
        <v>657</v>
      </c>
      <c r="I329" s="12">
        <v>900347045</v>
      </c>
      <c r="J329" s="13" t="s">
        <v>659</v>
      </c>
      <c r="K329" s="14">
        <v>16</v>
      </c>
      <c r="L329" s="15" t="s">
        <v>250</v>
      </c>
      <c r="M329" s="16">
        <v>117226.8907</v>
      </c>
      <c r="N329" s="16">
        <f>M329*0.19</f>
        <v>22273.109232999999</v>
      </c>
      <c r="O329" s="16">
        <f t="shared" si="14"/>
        <v>2231999.9989280002</v>
      </c>
      <c r="P329" s="14" t="s">
        <v>1383</v>
      </c>
    </row>
    <row r="330" spans="1:16" x14ac:dyDescent="0.3">
      <c r="A330" s="8" t="s">
        <v>623</v>
      </c>
      <c r="B330" s="9" t="s">
        <v>660</v>
      </c>
      <c r="C330" s="10" t="s">
        <v>661</v>
      </c>
      <c r="D330" s="11">
        <v>43978</v>
      </c>
      <c r="E330" s="11">
        <v>43985</v>
      </c>
      <c r="F330" s="31">
        <v>87780000</v>
      </c>
      <c r="G330" s="32">
        <v>0</v>
      </c>
      <c r="H330" s="8" t="s">
        <v>662</v>
      </c>
      <c r="I330" s="12">
        <v>900490455</v>
      </c>
      <c r="J330" s="13" t="s">
        <v>663</v>
      </c>
      <c r="K330" s="14">
        <v>26692</v>
      </c>
      <c r="L330" s="15" t="s">
        <v>250</v>
      </c>
      <c r="M330" s="16">
        <v>2500</v>
      </c>
      <c r="N330" s="16">
        <v>0</v>
      </c>
      <c r="O330" s="16">
        <f t="shared" si="14"/>
        <v>66730000</v>
      </c>
      <c r="P330" s="14" t="s">
        <v>95</v>
      </c>
    </row>
    <row r="331" spans="1:16" x14ac:dyDescent="0.3">
      <c r="A331" s="8" t="s">
        <v>623</v>
      </c>
      <c r="B331" s="9" t="s">
        <v>660</v>
      </c>
      <c r="C331" s="10" t="s">
        <v>661</v>
      </c>
      <c r="D331" s="11">
        <v>43978</v>
      </c>
      <c r="E331" s="11">
        <v>43985</v>
      </c>
      <c r="F331" s="31">
        <v>87780000</v>
      </c>
      <c r="G331" s="32">
        <v>0</v>
      </c>
      <c r="H331" s="8" t="s">
        <v>662</v>
      </c>
      <c r="I331" s="12">
        <v>900490455</v>
      </c>
      <c r="J331" s="13" t="s">
        <v>664</v>
      </c>
      <c r="K331" s="14">
        <v>30</v>
      </c>
      <c r="L331" s="15" t="s">
        <v>250</v>
      </c>
      <c r="M331" s="16">
        <v>60000</v>
      </c>
      <c r="N331" s="16">
        <v>0</v>
      </c>
      <c r="O331" s="16">
        <f t="shared" si="14"/>
        <v>1800000</v>
      </c>
      <c r="P331" s="14" t="s">
        <v>315</v>
      </c>
    </row>
    <row r="332" spans="1:16" x14ac:dyDescent="0.3">
      <c r="A332" s="8" t="s">
        <v>623</v>
      </c>
      <c r="B332" s="9" t="s">
        <v>660</v>
      </c>
      <c r="C332" s="10" t="s">
        <v>661</v>
      </c>
      <c r="D332" s="11">
        <v>43978</v>
      </c>
      <c r="E332" s="11">
        <v>43985</v>
      </c>
      <c r="F332" s="31">
        <v>87780000</v>
      </c>
      <c r="G332" s="32">
        <v>0</v>
      </c>
      <c r="H332" s="8" t="s">
        <v>662</v>
      </c>
      <c r="I332" s="12">
        <v>900490455</v>
      </c>
      <c r="J332" s="13" t="s">
        <v>665</v>
      </c>
      <c r="K332" s="14">
        <v>50</v>
      </c>
      <c r="L332" s="15" t="s">
        <v>250</v>
      </c>
      <c r="M332" s="16">
        <v>60000</v>
      </c>
      <c r="N332" s="16">
        <v>0</v>
      </c>
      <c r="O332" s="16">
        <f t="shared" si="14"/>
        <v>3000000</v>
      </c>
      <c r="P332" s="14" t="s">
        <v>315</v>
      </c>
    </row>
    <row r="333" spans="1:16" x14ac:dyDescent="0.3">
      <c r="A333" s="8" t="s">
        <v>623</v>
      </c>
      <c r="B333" s="9" t="s">
        <v>660</v>
      </c>
      <c r="C333" s="10" t="s">
        <v>661</v>
      </c>
      <c r="D333" s="11">
        <v>43978</v>
      </c>
      <c r="E333" s="11">
        <v>43985</v>
      </c>
      <c r="F333" s="31">
        <v>87780000</v>
      </c>
      <c r="G333" s="32">
        <v>0</v>
      </c>
      <c r="H333" s="8" t="s">
        <v>662</v>
      </c>
      <c r="I333" s="12">
        <v>900490455</v>
      </c>
      <c r="J333" s="13" t="s">
        <v>666</v>
      </c>
      <c r="K333" s="14">
        <v>200</v>
      </c>
      <c r="L333" s="15" t="s">
        <v>250</v>
      </c>
      <c r="M333" s="16">
        <v>65000</v>
      </c>
      <c r="N333" s="16">
        <v>0</v>
      </c>
      <c r="O333" s="16">
        <f t="shared" si="14"/>
        <v>13000000</v>
      </c>
      <c r="P333" s="14" t="s">
        <v>315</v>
      </c>
    </row>
    <row r="334" spans="1:16" x14ac:dyDescent="0.3">
      <c r="A334" s="8" t="s">
        <v>623</v>
      </c>
      <c r="B334" s="9" t="s">
        <v>660</v>
      </c>
      <c r="C334" s="10" t="s">
        <v>661</v>
      </c>
      <c r="D334" s="11">
        <v>43978</v>
      </c>
      <c r="E334" s="11">
        <v>43985</v>
      </c>
      <c r="F334" s="31">
        <v>87780000</v>
      </c>
      <c r="G334" s="32">
        <v>0</v>
      </c>
      <c r="H334" s="8" t="s">
        <v>662</v>
      </c>
      <c r="I334" s="12">
        <v>900490455</v>
      </c>
      <c r="J334" s="13" t="s">
        <v>667</v>
      </c>
      <c r="K334" s="14">
        <v>50</v>
      </c>
      <c r="L334" s="15" t="s">
        <v>250</v>
      </c>
      <c r="M334" s="16">
        <v>65000</v>
      </c>
      <c r="N334" s="16">
        <v>0</v>
      </c>
      <c r="O334" s="16">
        <f t="shared" si="14"/>
        <v>3250000</v>
      </c>
      <c r="P334" s="14" t="s">
        <v>315</v>
      </c>
    </row>
    <row r="335" spans="1:16" x14ac:dyDescent="0.3">
      <c r="A335" s="8" t="s">
        <v>623</v>
      </c>
      <c r="B335" s="9" t="s">
        <v>668</v>
      </c>
      <c r="C335" s="10" t="s">
        <v>661</v>
      </c>
      <c r="D335" s="11">
        <v>43979</v>
      </c>
      <c r="E335" s="11">
        <v>43985</v>
      </c>
      <c r="F335" s="31">
        <v>87642600</v>
      </c>
      <c r="G335" s="32">
        <v>0</v>
      </c>
      <c r="H335" s="8" t="s">
        <v>657</v>
      </c>
      <c r="I335" s="12">
        <v>900347045</v>
      </c>
      <c r="J335" s="13" t="s">
        <v>669</v>
      </c>
      <c r="K335" s="14">
        <f>928*50</f>
        <v>46400</v>
      </c>
      <c r="L335" s="15" t="s">
        <v>250</v>
      </c>
      <c r="M335" s="16">
        <f>73500/50</f>
        <v>1470</v>
      </c>
      <c r="N335" s="16">
        <v>0</v>
      </c>
      <c r="O335" s="16">
        <f t="shared" si="14"/>
        <v>68208000</v>
      </c>
      <c r="P335" s="14" t="s">
        <v>95</v>
      </c>
    </row>
    <row r="336" spans="1:16" x14ac:dyDescent="0.3">
      <c r="A336" s="8" t="s">
        <v>623</v>
      </c>
      <c r="B336" s="9" t="s">
        <v>668</v>
      </c>
      <c r="C336" s="10" t="s">
        <v>661</v>
      </c>
      <c r="D336" s="11">
        <v>43979</v>
      </c>
      <c r="E336" s="11">
        <v>43985</v>
      </c>
      <c r="F336" s="31">
        <v>87642600</v>
      </c>
      <c r="G336" s="32">
        <v>0</v>
      </c>
      <c r="H336" s="8" t="s">
        <v>657</v>
      </c>
      <c r="I336" s="12">
        <v>900347045</v>
      </c>
      <c r="J336" s="13" t="s">
        <v>670</v>
      </c>
      <c r="K336" s="14">
        <v>1080</v>
      </c>
      <c r="L336" s="15" t="s">
        <v>172</v>
      </c>
      <c r="M336" s="16">
        <v>17995</v>
      </c>
      <c r="N336" s="16">
        <v>0</v>
      </c>
      <c r="O336" s="16">
        <f t="shared" si="14"/>
        <v>19434600</v>
      </c>
      <c r="P336" s="14" t="s">
        <v>1398</v>
      </c>
    </row>
    <row r="337" spans="1:16" x14ac:dyDescent="0.3">
      <c r="A337" s="8" t="s">
        <v>623</v>
      </c>
      <c r="B337" s="9" t="s">
        <v>671</v>
      </c>
      <c r="C337" s="10" t="s">
        <v>661</v>
      </c>
      <c r="D337" s="11">
        <v>43979</v>
      </c>
      <c r="E337" s="11">
        <v>43979</v>
      </c>
      <c r="F337" s="31">
        <v>27353976</v>
      </c>
      <c r="G337" s="32">
        <v>0</v>
      </c>
      <c r="H337" s="8" t="s">
        <v>652</v>
      </c>
      <c r="I337" s="12">
        <v>830094214</v>
      </c>
      <c r="J337" s="13" t="s">
        <v>672</v>
      </c>
      <c r="K337" s="24">
        <v>1284</v>
      </c>
      <c r="L337" s="15" t="s">
        <v>172</v>
      </c>
      <c r="M337" s="16">
        <v>13400</v>
      </c>
      <c r="N337" s="16">
        <v>0</v>
      </c>
      <c r="O337" s="16">
        <f t="shared" si="14"/>
        <v>17205600</v>
      </c>
      <c r="P337" s="14" t="s">
        <v>34</v>
      </c>
    </row>
    <row r="338" spans="1:16" x14ac:dyDescent="0.3">
      <c r="A338" s="8" t="s">
        <v>623</v>
      </c>
      <c r="B338" s="9" t="s">
        <v>671</v>
      </c>
      <c r="C338" s="10" t="s">
        <v>661</v>
      </c>
      <c r="D338" s="11">
        <v>43979</v>
      </c>
      <c r="E338" s="11">
        <v>43979</v>
      </c>
      <c r="F338" s="31">
        <v>27353976</v>
      </c>
      <c r="G338" s="32">
        <v>0</v>
      </c>
      <c r="H338" s="8" t="s">
        <v>652</v>
      </c>
      <c r="I338" s="12">
        <v>830094214</v>
      </c>
      <c r="J338" s="13" t="s">
        <v>673</v>
      </c>
      <c r="K338" s="14">
        <v>1218</v>
      </c>
      <c r="L338" s="15" t="s">
        <v>172</v>
      </c>
      <c r="M338" s="16">
        <v>8332</v>
      </c>
      <c r="N338" s="16">
        <v>0</v>
      </c>
      <c r="O338" s="16">
        <f t="shared" si="14"/>
        <v>10148376</v>
      </c>
      <c r="P338" s="14" t="s">
        <v>36</v>
      </c>
    </row>
    <row r="339" spans="1:16" x14ac:dyDescent="0.3">
      <c r="A339" s="8" t="s">
        <v>623</v>
      </c>
      <c r="B339" s="9" t="s">
        <v>674</v>
      </c>
      <c r="C339" s="10" t="s">
        <v>661</v>
      </c>
      <c r="D339" s="11">
        <v>43979</v>
      </c>
      <c r="E339" s="11">
        <v>43979</v>
      </c>
      <c r="F339" s="31">
        <v>79458450</v>
      </c>
      <c r="G339" s="32">
        <v>0</v>
      </c>
      <c r="H339" s="8" t="s">
        <v>675</v>
      </c>
      <c r="I339" s="12">
        <v>813005241</v>
      </c>
      <c r="J339" s="13" t="s">
        <v>676</v>
      </c>
      <c r="K339" s="14">
        <v>1791</v>
      </c>
      <c r="L339" s="15" t="s">
        <v>531</v>
      </c>
      <c r="M339" s="16">
        <v>40000</v>
      </c>
      <c r="N339" s="16">
        <v>0</v>
      </c>
      <c r="O339" s="16">
        <f t="shared" si="14"/>
        <v>71640000</v>
      </c>
      <c r="P339" s="14" t="s">
        <v>59</v>
      </c>
    </row>
    <row r="340" spans="1:16" x14ac:dyDescent="0.3">
      <c r="A340" s="8" t="s">
        <v>623</v>
      </c>
      <c r="B340" s="9" t="s">
        <v>674</v>
      </c>
      <c r="C340" s="10" t="s">
        <v>661</v>
      </c>
      <c r="D340" s="11">
        <v>43979</v>
      </c>
      <c r="E340" s="11">
        <v>43979</v>
      </c>
      <c r="F340" s="31">
        <v>79458450</v>
      </c>
      <c r="G340" s="32">
        <v>0</v>
      </c>
      <c r="H340" s="8" t="s">
        <v>675</v>
      </c>
      <c r="I340" s="12">
        <v>813005241</v>
      </c>
      <c r="J340" s="13" t="s">
        <v>1466</v>
      </c>
      <c r="K340" s="24">
        <v>832</v>
      </c>
      <c r="L340" s="15" t="s">
        <v>172</v>
      </c>
      <c r="M340" s="16">
        <v>9397.1754799999999</v>
      </c>
      <c r="N340" s="16">
        <v>0</v>
      </c>
      <c r="O340" s="16">
        <f t="shared" si="14"/>
        <v>7818449.9993599998</v>
      </c>
      <c r="P340" s="14" t="s">
        <v>96</v>
      </c>
    </row>
    <row r="341" spans="1:16" x14ac:dyDescent="0.3">
      <c r="A341" s="8" t="s">
        <v>623</v>
      </c>
      <c r="B341" s="9" t="s">
        <v>677</v>
      </c>
      <c r="C341" s="10" t="s">
        <v>661</v>
      </c>
      <c r="D341" s="11">
        <v>43983</v>
      </c>
      <c r="E341" s="11">
        <v>43990</v>
      </c>
      <c r="F341" s="31">
        <v>6288000</v>
      </c>
      <c r="G341" s="32">
        <v>0</v>
      </c>
      <c r="H341" s="8" t="s">
        <v>678</v>
      </c>
      <c r="I341" s="12">
        <v>900305563</v>
      </c>
      <c r="J341" s="13" t="s">
        <v>679</v>
      </c>
      <c r="K341" s="14">
        <v>32</v>
      </c>
      <c r="L341" s="15" t="s">
        <v>250</v>
      </c>
      <c r="M341" s="16">
        <v>165126.05042000001</v>
      </c>
      <c r="N341" s="16">
        <f>M341*0.19</f>
        <v>31373.949579800003</v>
      </c>
      <c r="O341" s="16">
        <f t="shared" si="14"/>
        <v>6287999.9999936009</v>
      </c>
      <c r="P341" s="14" t="s">
        <v>1383</v>
      </c>
    </row>
    <row r="342" spans="1:16" x14ac:dyDescent="0.3">
      <c r="A342" s="8" t="s">
        <v>623</v>
      </c>
      <c r="B342" s="9" t="s">
        <v>680</v>
      </c>
      <c r="C342" s="10" t="s">
        <v>661</v>
      </c>
      <c r="D342" s="11">
        <v>43984</v>
      </c>
      <c r="E342" s="11">
        <v>43990</v>
      </c>
      <c r="F342" s="31">
        <v>3253250</v>
      </c>
      <c r="G342" s="32">
        <v>0</v>
      </c>
      <c r="H342" s="8" t="s">
        <v>681</v>
      </c>
      <c r="I342" s="12">
        <v>900348560</v>
      </c>
      <c r="J342" s="13" t="s">
        <v>682</v>
      </c>
      <c r="K342" s="14">
        <v>275</v>
      </c>
      <c r="L342" s="15" t="s">
        <v>250</v>
      </c>
      <c r="M342" s="16">
        <v>11830</v>
      </c>
      <c r="N342" s="16">
        <v>0</v>
      </c>
      <c r="O342" s="16">
        <f t="shared" si="14"/>
        <v>3253250</v>
      </c>
      <c r="P342" s="14" t="s">
        <v>232</v>
      </c>
    </row>
    <row r="343" spans="1:16" x14ac:dyDescent="0.3">
      <c r="A343" s="8" t="s">
        <v>623</v>
      </c>
      <c r="B343" s="9" t="s">
        <v>683</v>
      </c>
      <c r="C343" s="10" t="s">
        <v>661</v>
      </c>
      <c r="D343" s="11">
        <v>43985</v>
      </c>
      <c r="E343" s="11">
        <v>43990</v>
      </c>
      <c r="F343" s="31">
        <v>11400000</v>
      </c>
      <c r="G343" s="32">
        <v>0</v>
      </c>
      <c r="H343" s="8" t="s">
        <v>681</v>
      </c>
      <c r="I343" s="12">
        <v>900348560</v>
      </c>
      <c r="J343" s="13" t="s">
        <v>684</v>
      </c>
      <c r="K343" s="14">
        <v>60</v>
      </c>
      <c r="L343" s="15" t="s">
        <v>250</v>
      </c>
      <c r="M343" s="16">
        <v>190000</v>
      </c>
      <c r="N343" s="16">
        <v>0</v>
      </c>
      <c r="O343" s="16">
        <f t="shared" si="14"/>
        <v>11400000</v>
      </c>
      <c r="P343" s="14" t="s">
        <v>196</v>
      </c>
    </row>
    <row r="344" spans="1:16" x14ac:dyDescent="0.3">
      <c r="A344" s="8" t="s">
        <v>623</v>
      </c>
      <c r="B344" s="9" t="s">
        <v>685</v>
      </c>
      <c r="C344" s="10" t="s">
        <v>686</v>
      </c>
      <c r="D344" s="11">
        <v>43991</v>
      </c>
      <c r="E344" s="11">
        <v>43998</v>
      </c>
      <c r="F344" s="31">
        <v>15750000</v>
      </c>
      <c r="G344" s="32">
        <v>0</v>
      </c>
      <c r="H344" s="8" t="s">
        <v>687</v>
      </c>
      <c r="I344" s="12">
        <v>800213675</v>
      </c>
      <c r="J344" s="13" t="s">
        <v>688</v>
      </c>
      <c r="K344" s="14">
        <v>50</v>
      </c>
      <c r="L344" s="15" t="s">
        <v>250</v>
      </c>
      <c r="M344" s="16">
        <v>315000</v>
      </c>
      <c r="N344" s="16">
        <v>0</v>
      </c>
      <c r="O344" s="16">
        <f t="shared" si="14"/>
        <v>15750000</v>
      </c>
      <c r="P344" s="14" t="s">
        <v>136</v>
      </c>
    </row>
    <row r="345" spans="1:16" x14ac:dyDescent="0.3">
      <c r="A345" s="8" t="s">
        <v>623</v>
      </c>
      <c r="B345" s="9" t="s">
        <v>689</v>
      </c>
      <c r="C345" s="10" t="s">
        <v>690</v>
      </c>
      <c r="D345" s="11">
        <v>44008</v>
      </c>
      <c r="E345" s="11">
        <v>44013</v>
      </c>
      <c r="F345" s="31">
        <v>85748768</v>
      </c>
      <c r="G345" s="32">
        <v>0</v>
      </c>
      <c r="H345" s="8" t="s">
        <v>691</v>
      </c>
      <c r="I345" s="12">
        <v>900402861</v>
      </c>
      <c r="J345" s="13" t="s">
        <v>1430</v>
      </c>
      <c r="K345" s="14">
        <v>12</v>
      </c>
      <c r="L345" s="15" t="s">
        <v>1281</v>
      </c>
      <c r="M345" s="16">
        <v>1531228</v>
      </c>
      <c r="N345" s="16">
        <v>0</v>
      </c>
      <c r="O345" s="16">
        <f>K345*(M345+N345)*4</f>
        <v>73498944</v>
      </c>
      <c r="P345" s="14" t="s">
        <v>1282</v>
      </c>
    </row>
    <row r="346" spans="1:16" x14ac:dyDescent="0.3">
      <c r="A346" s="8" t="s">
        <v>623</v>
      </c>
      <c r="B346" s="9" t="s">
        <v>689</v>
      </c>
      <c r="C346" s="10" t="s">
        <v>690</v>
      </c>
      <c r="D346" s="11">
        <v>44008</v>
      </c>
      <c r="E346" s="11">
        <v>44013</v>
      </c>
      <c r="F346" s="31">
        <v>85748768</v>
      </c>
      <c r="G346" s="32">
        <v>0</v>
      </c>
      <c r="H346" s="8" t="s">
        <v>691</v>
      </c>
      <c r="I346" s="12">
        <v>900402861</v>
      </c>
      <c r="J346" s="13" t="s">
        <v>692</v>
      </c>
      <c r="K346" s="14">
        <v>8</v>
      </c>
      <c r="L346" s="15" t="s">
        <v>1281</v>
      </c>
      <c r="M346" s="16">
        <v>1531228</v>
      </c>
      <c r="N346" s="16">
        <v>0</v>
      </c>
      <c r="O346" s="16">
        <f t="shared" si="14"/>
        <v>12249824</v>
      </c>
      <c r="P346" s="14" t="s">
        <v>1282</v>
      </c>
    </row>
    <row r="347" spans="1:16" x14ac:dyDescent="0.3">
      <c r="A347" s="8" t="s">
        <v>693</v>
      </c>
      <c r="B347" s="9" t="s">
        <v>694</v>
      </c>
      <c r="C347" s="10" t="s">
        <v>695</v>
      </c>
      <c r="D347" s="11">
        <v>43944</v>
      </c>
      <c r="E347" s="11">
        <v>43944</v>
      </c>
      <c r="F347" s="31">
        <v>19975000</v>
      </c>
      <c r="G347" s="32">
        <v>0</v>
      </c>
      <c r="H347" s="8" t="s">
        <v>696</v>
      </c>
      <c r="I347" s="12">
        <v>830137645</v>
      </c>
      <c r="J347" s="13" t="s">
        <v>1420</v>
      </c>
      <c r="K347" s="14">
        <f>250*100</f>
        <v>25000</v>
      </c>
      <c r="L347" s="15" t="s">
        <v>250</v>
      </c>
      <c r="M347" s="16">
        <f>79900/100</f>
        <v>799</v>
      </c>
      <c r="N347" s="16">
        <v>0</v>
      </c>
      <c r="O347" s="16">
        <f t="shared" si="14"/>
        <v>19975000</v>
      </c>
      <c r="P347" s="14" t="s">
        <v>95</v>
      </c>
    </row>
    <row r="348" spans="1:16" x14ac:dyDescent="0.3">
      <c r="A348" s="8" t="s">
        <v>693</v>
      </c>
      <c r="B348" s="9" t="s">
        <v>697</v>
      </c>
      <c r="C348" s="10" t="s">
        <v>698</v>
      </c>
      <c r="D348" s="11">
        <v>43944</v>
      </c>
      <c r="E348" s="11">
        <v>43944</v>
      </c>
      <c r="F348" s="31">
        <v>5142900</v>
      </c>
      <c r="G348" s="32">
        <v>0</v>
      </c>
      <c r="H348" s="8" t="s">
        <v>51</v>
      </c>
      <c r="I348" s="12">
        <v>830001338</v>
      </c>
      <c r="J348" s="13" t="s">
        <v>1459</v>
      </c>
      <c r="K348" s="24">
        <v>380</v>
      </c>
      <c r="L348" s="15" t="s">
        <v>172</v>
      </c>
      <c r="M348" s="16">
        <v>13533.94736842</v>
      </c>
      <c r="N348" s="16">
        <v>0</v>
      </c>
      <c r="O348" s="16">
        <f t="shared" si="14"/>
        <v>5142899.9999996005</v>
      </c>
      <c r="P348" s="14" t="s">
        <v>96</v>
      </c>
    </row>
    <row r="349" spans="1:16" x14ac:dyDescent="0.3">
      <c r="A349" s="8" t="s">
        <v>693</v>
      </c>
      <c r="B349" s="9" t="s">
        <v>699</v>
      </c>
      <c r="C349" s="10" t="s">
        <v>700</v>
      </c>
      <c r="D349" s="11">
        <v>43944</v>
      </c>
      <c r="E349" s="11">
        <v>43944</v>
      </c>
      <c r="F349" s="31">
        <v>16680840</v>
      </c>
      <c r="G349" s="32">
        <v>0</v>
      </c>
      <c r="H349" s="8" t="s">
        <v>701</v>
      </c>
      <c r="I349" s="12">
        <v>900704052</v>
      </c>
      <c r="J349" s="13" t="s">
        <v>702</v>
      </c>
      <c r="K349" s="24">
        <v>1254</v>
      </c>
      <c r="L349" s="15" t="s">
        <v>172</v>
      </c>
      <c r="M349" s="16">
        <v>13302.105262999999</v>
      </c>
      <c r="N349" s="16">
        <v>0</v>
      </c>
      <c r="O349" s="16">
        <f t="shared" si="14"/>
        <v>16680839.999801999</v>
      </c>
      <c r="P349" s="14" t="s">
        <v>34</v>
      </c>
    </row>
    <row r="350" spans="1:16" x14ac:dyDescent="0.3">
      <c r="A350" s="8" t="s">
        <v>693</v>
      </c>
      <c r="B350" s="9" t="s">
        <v>703</v>
      </c>
      <c r="C350" s="10" t="s">
        <v>704</v>
      </c>
      <c r="D350" s="11">
        <v>43944</v>
      </c>
      <c r="E350" s="11">
        <v>43944</v>
      </c>
      <c r="F350" s="31">
        <v>4605000</v>
      </c>
      <c r="G350" s="32">
        <v>0</v>
      </c>
      <c r="H350" s="8" t="s">
        <v>701</v>
      </c>
      <c r="I350" s="12">
        <v>900704052</v>
      </c>
      <c r="J350" s="13" t="s">
        <v>1482</v>
      </c>
      <c r="K350" s="14">
        <v>1140</v>
      </c>
      <c r="L350" s="15" t="s">
        <v>172</v>
      </c>
      <c r="M350" s="16">
        <v>4039.473684</v>
      </c>
      <c r="N350" s="16">
        <v>0</v>
      </c>
      <c r="O350" s="16">
        <f t="shared" si="14"/>
        <v>4604999.99976</v>
      </c>
      <c r="P350" s="14" t="s">
        <v>36</v>
      </c>
    </row>
    <row r="351" spans="1:16" x14ac:dyDescent="0.3">
      <c r="A351" s="8" t="s">
        <v>693</v>
      </c>
      <c r="B351" s="9" t="s">
        <v>705</v>
      </c>
      <c r="C351" s="10" t="s">
        <v>706</v>
      </c>
      <c r="D351" s="11">
        <v>43944</v>
      </c>
      <c r="E351" s="11">
        <v>43944</v>
      </c>
      <c r="F351" s="31">
        <v>9241540</v>
      </c>
      <c r="G351" s="32">
        <v>0</v>
      </c>
      <c r="H351" s="8" t="s">
        <v>224</v>
      </c>
      <c r="I351" s="12">
        <v>900300970</v>
      </c>
      <c r="J351" s="13" t="s">
        <v>1278</v>
      </c>
      <c r="K351" s="14">
        <v>2000</v>
      </c>
      <c r="L351" s="15" t="s">
        <v>1277</v>
      </c>
      <c r="M351" s="16">
        <v>3883</v>
      </c>
      <c r="N351" s="16">
        <v>0</v>
      </c>
      <c r="O351" s="16">
        <f t="shared" si="14"/>
        <v>7766000</v>
      </c>
      <c r="P351" s="14" t="s">
        <v>94</v>
      </c>
    </row>
    <row r="352" spans="1:16" x14ac:dyDescent="0.3">
      <c r="A352" s="8" t="s">
        <v>693</v>
      </c>
      <c r="B352" s="9" t="s">
        <v>707</v>
      </c>
      <c r="C352" s="10" t="s">
        <v>708</v>
      </c>
      <c r="D352" s="11">
        <v>43949</v>
      </c>
      <c r="E352" s="11">
        <v>43949</v>
      </c>
      <c r="F352" s="31">
        <v>2832200</v>
      </c>
      <c r="G352" s="32">
        <v>0</v>
      </c>
      <c r="H352" s="8" t="s">
        <v>709</v>
      </c>
      <c r="I352" s="12">
        <v>830037946</v>
      </c>
      <c r="J352" s="13" t="s">
        <v>710</v>
      </c>
      <c r="K352" s="14">
        <v>200</v>
      </c>
      <c r="L352" s="15" t="s">
        <v>250</v>
      </c>
      <c r="M352" s="16">
        <v>14161</v>
      </c>
      <c r="N352" s="16">
        <v>0</v>
      </c>
      <c r="O352" s="16">
        <f t="shared" si="14"/>
        <v>2832200</v>
      </c>
      <c r="P352" s="14" t="s">
        <v>25</v>
      </c>
    </row>
    <row r="353" spans="1:16" x14ac:dyDescent="0.3">
      <c r="A353" s="8" t="s">
        <v>693</v>
      </c>
      <c r="B353" s="9" t="s">
        <v>711</v>
      </c>
      <c r="C353" s="10" t="s">
        <v>712</v>
      </c>
      <c r="D353" s="11">
        <v>43965</v>
      </c>
      <c r="E353" s="11">
        <v>43965</v>
      </c>
      <c r="F353" s="31">
        <v>4840000</v>
      </c>
      <c r="G353" s="32">
        <v>0</v>
      </c>
      <c r="H353" s="8" t="s">
        <v>713</v>
      </c>
      <c r="I353" s="12">
        <v>900175023</v>
      </c>
      <c r="J353" s="13" t="s">
        <v>59</v>
      </c>
      <c r="K353" s="14">
        <v>100</v>
      </c>
      <c r="L353" s="15" t="s">
        <v>531</v>
      </c>
      <c r="M353" s="16">
        <f>24200*2</f>
        <v>48400</v>
      </c>
      <c r="N353" s="16">
        <v>0</v>
      </c>
      <c r="O353" s="16">
        <f t="shared" si="14"/>
        <v>4840000</v>
      </c>
      <c r="P353" s="14" t="s">
        <v>59</v>
      </c>
    </row>
    <row r="354" spans="1:16" x14ac:dyDescent="0.3">
      <c r="A354" s="8" t="s">
        <v>693</v>
      </c>
      <c r="B354" s="9" t="s">
        <v>714</v>
      </c>
      <c r="C354" s="10" t="s">
        <v>712</v>
      </c>
      <c r="D354" s="11">
        <v>43985</v>
      </c>
      <c r="E354" s="11">
        <v>43986</v>
      </c>
      <c r="F354" s="31">
        <v>44570660</v>
      </c>
      <c r="G354" s="32">
        <v>0</v>
      </c>
      <c r="H354" s="8" t="s">
        <v>715</v>
      </c>
      <c r="I354" s="12">
        <v>900155107</v>
      </c>
      <c r="J354" s="13" t="s">
        <v>1448</v>
      </c>
      <c r="K354" s="24">
        <v>352</v>
      </c>
      <c r="L354" s="15" t="s">
        <v>172</v>
      </c>
      <c r="M354" s="16">
        <f>11765*2</f>
        <v>23530</v>
      </c>
      <c r="N354" s="16">
        <v>0</v>
      </c>
      <c r="O354" s="16">
        <f t="shared" si="14"/>
        <v>8282560</v>
      </c>
      <c r="P354" s="14" t="s">
        <v>34</v>
      </c>
    </row>
    <row r="355" spans="1:16" x14ac:dyDescent="0.3">
      <c r="A355" s="8" t="s">
        <v>693</v>
      </c>
      <c r="B355" s="9" t="s">
        <v>714</v>
      </c>
      <c r="C355" s="10" t="s">
        <v>712</v>
      </c>
      <c r="D355" s="11">
        <v>43985</v>
      </c>
      <c r="E355" s="11">
        <v>43986</v>
      </c>
      <c r="F355" s="31">
        <v>44570660</v>
      </c>
      <c r="G355" s="32">
        <v>0</v>
      </c>
      <c r="H355" s="8" t="s">
        <v>715</v>
      </c>
      <c r="I355" s="12">
        <v>900155107</v>
      </c>
      <c r="J355" s="13" t="s">
        <v>716</v>
      </c>
      <c r="K355" s="14">
        <v>3100</v>
      </c>
      <c r="L355" s="15" t="s">
        <v>250</v>
      </c>
      <c r="M355" s="16">
        <v>7501</v>
      </c>
      <c r="N355" s="16">
        <v>0</v>
      </c>
      <c r="O355" s="16">
        <f t="shared" si="14"/>
        <v>23253100</v>
      </c>
      <c r="P355" s="14" t="s">
        <v>232</v>
      </c>
    </row>
    <row r="356" spans="1:16" x14ac:dyDescent="0.3">
      <c r="A356" s="8" t="s">
        <v>693</v>
      </c>
      <c r="B356" s="9" t="s">
        <v>714</v>
      </c>
      <c r="C356" s="10" t="s">
        <v>712</v>
      </c>
      <c r="D356" s="11">
        <v>43985</v>
      </c>
      <c r="E356" s="11">
        <v>43986</v>
      </c>
      <c r="F356" s="31">
        <v>44570660</v>
      </c>
      <c r="G356" s="32">
        <v>0</v>
      </c>
      <c r="H356" s="8" t="s">
        <v>715</v>
      </c>
      <c r="I356" s="12">
        <v>900155107</v>
      </c>
      <c r="J356" s="13" t="s">
        <v>717</v>
      </c>
      <c r="K356" s="14">
        <v>57</v>
      </c>
      <c r="L356" s="15" t="s">
        <v>250</v>
      </c>
      <c r="M356" s="16">
        <v>130000</v>
      </c>
      <c r="N356" s="16">
        <v>0</v>
      </c>
      <c r="O356" s="16">
        <f t="shared" si="14"/>
        <v>7410000</v>
      </c>
      <c r="P356" s="14" t="s">
        <v>1383</v>
      </c>
    </row>
    <row r="357" spans="1:16" x14ac:dyDescent="0.3">
      <c r="A357" s="8" t="s">
        <v>693</v>
      </c>
      <c r="B357" s="9" t="s">
        <v>714</v>
      </c>
      <c r="C357" s="10" t="s">
        <v>712</v>
      </c>
      <c r="D357" s="11">
        <v>43985</v>
      </c>
      <c r="E357" s="11">
        <v>43986</v>
      </c>
      <c r="F357" s="31">
        <v>44570660</v>
      </c>
      <c r="G357" s="32">
        <v>0</v>
      </c>
      <c r="H357" s="8" t="s">
        <v>715</v>
      </c>
      <c r="I357" s="12">
        <v>900155107</v>
      </c>
      <c r="J357" s="13" t="s">
        <v>718</v>
      </c>
      <c r="K357" s="14">
        <v>18</v>
      </c>
      <c r="L357" s="15" t="s">
        <v>250</v>
      </c>
      <c r="M357" s="16">
        <v>312500</v>
      </c>
      <c r="N357" s="16">
        <v>0</v>
      </c>
      <c r="O357" s="16">
        <f t="shared" si="14"/>
        <v>5625000</v>
      </c>
      <c r="P357" s="14" t="s">
        <v>136</v>
      </c>
    </row>
    <row r="358" spans="1:16" x14ac:dyDescent="0.3">
      <c r="A358" s="8" t="s">
        <v>693</v>
      </c>
      <c r="B358" s="9" t="s">
        <v>719</v>
      </c>
      <c r="C358" s="10" t="s">
        <v>720</v>
      </c>
      <c r="D358" s="11">
        <v>43999</v>
      </c>
      <c r="E358" s="11">
        <v>43999</v>
      </c>
      <c r="F358" s="31">
        <v>18939000</v>
      </c>
      <c r="G358" s="32">
        <v>0</v>
      </c>
      <c r="H358" s="8" t="s">
        <v>721</v>
      </c>
      <c r="I358" s="12">
        <v>900023386</v>
      </c>
      <c r="J358" s="13" t="s">
        <v>898</v>
      </c>
      <c r="K358" s="14">
        <f>420*4</f>
        <v>1680</v>
      </c>
      <c r="L358" s="15" t="s">
        <v>172</v>
      </c>
      <c r="M358" s="16">
        <v>4975</v>
      </c>
      <c r="N358" s="16">
        <v>0</v>
      </c>
      <c r="O358" s="16">
        <f t="shared" si="14"/>
        <v>8358000</v>
      </c>
      <c r="P358" s="14" t="s">
        <v>643</v>
      </c>
    </row>
    <row r="359" spans="1:16" x14ac:dyDescent="0.3">
      <c r="A359" s="8" t="s">
        <v>693</v>
      </c>
      <c r="B359" s="9" t="s">
        <v>719</v>
      </c>
      <c r="C359" s="10" t="s">
        <v>720</v>
      </c>
      <c r="D359" s="11">
        <v>43999</v>
      </c>
      <c r="E359" s="11">
        <v>43999</v>
      </c>
      <c r="F359" s="31">
        <v>18939000</v>
      </c>
      <c r="G359" s="32">
        <v>0</v>
      </c>
      <c r="H359" s="8" t="s">
        <v>721</v>
      </c>
      <c r="I359" s="12">
        <v>900023386</v>
      </c>
      <c r="J359" s="13" t="s">
        <v>722</v>
      </c>
      <c r="K359" s="14">
        <v>28</v>
      </c>
      <c r="L359" s="15" t="s">
        <v>251</v>
      </c>
      <c r="M359" s="16">
        <v>285000</v>
      </c>
      <c r="N359" s="16">
        <v>0</v>
      </c>
      <c r="O359" s="16">
        <f t="shared" si="14"/>
        <v>7980000</v>
      </c>
      <c r="P359" s="14" t="s">
        <v>196</v>
      </c>
    </row>
    <row r="360" spans="1:16" x14ac:dyDescent="0.3">
      <c r="A360" s="8" t="s">
        <v>693</v>
      </c>
      <c r="B360" s="9" t="s">
        <v>719</v>
      </c>
      <c r="C360" s="10" t="s">
        <v>720</v>
      </c>
      <c r="D360" s="11">
        <v>43999</v>
      </c>
      <c r="E360" s="11">
        <v>43999</v>
      </c>
      <c r="F360" s="31">
        <v>18939000</v>
      </c>
      <c r="G360" s="32">
        <v>0</v>
      </c>
      <c r="H360" s="8" t="s">
        <v>721</v>
      </c>
      <c r="I360" s="12">
        <v>900023386</v>
      </c>
      <c r="J360" s="13" t="s">
        <v>1245</v>
      </c>
      <c r="K360" s="24">
        <v>170</v>
      </c>
      <c r="L360" s="15" t="s">
        <v>172</v>
      </c>
      <c r="M360" s="16">
        <v>15300</v>
      </c>
      <c r="N360" s="16">
        <v>0</v>
      </c>
      <c r="O360" s="16">
        <f t="shared" si="14"/>
        <v>2601000</v>
      </c>
      <c r="P360" s="14" t="s">
        <v>96</v>
      </c>
    </row>
    <row r="361" spans="1:16" x14ac:dyDescent="0.3">
      <c r="A361" s="8" t="s">
        <v>693</v>
      </c>
      <c r="B361" s="9" t="s">
        <v>723</v>
      </c>
      <c r="C361" s="10" t="s">
        <v>724</v>
      </c>
      <c r="D361" s="11">
        <v>44001</v>
      </c>
      <c r="E361" s="11">
        <v>44001</v>
      </c>
      <c r="F361" s="31">
        <v>84864000</v>
      </c>
      <c r="G361" s="32">
        <v>0</v>
      </c>
      <c r="H361" s="8" t="s">
        <v>725</v>
      </c>
      <c r="I361" s="12">
        <v>900401081</v>
      </c>
      <c r="J361" s="13" t="s">
        <v>1419</v>
      </c>
      <c r="K361" s="14">
        <v>81600</v>
      </c>
      <c r="L361" s="15" t="s">
        <v>250</v>
      </c>
      <c r="M361" s="16">
        <f>104000/100</f>
        <v>1040</v>
      </c>
      <c r="N361" s="16">
        <v>0</v>
      </c>
      <c r="O361" s="16">
        <f t="shared" si="14"/>
        <v>84864000</v>
      </c>
      <c r="P361" s="14" t="s">
        <v>95</v>
      </c>
    </row>
    <row r="362" spans="1:16" x14ac:dyDescent="0.3">
      <c r="A362" s="8" t="s">
        <v>693</v>
      </c>
      <c r="B362" s="9" t="s">
        <v>726</v>
      </c>
      <c r="C362" s="10" t="s">
        <v>727</v>
      </c>
      <c r="D362" s="11">
        <v>44009</v>
      </c>
      <c r="E362" s="11">
        <v>44009</v>
      </c>
      <c r="F362" s="31">
        <v>70590000</v>
      </c>
      <c r="G362" s="32">
        <v>0</v>
      </c>
      <c r="H362" s="8" t="s">
        <v>224</v>
      </c>
      <c r="I362" s="12">
        <v>900300970</v>
      </c>
      <c r="J362" s="13" t="s">
        <v>59</v>
      </c>
      <c r="K362" s="14">
        <v>1500</v>
      </c>
      <c r="L362" s="15" t="s">
        <v>531</v>
      </c>
      <c r="M362" s="16">
        <v>47060</v>
      </c>
      <c r="N362" s="16">
        <v>0</v>
      </c>
      <c r="O362" s="16">
        <f t="shared" si="14"/>
        <v>70590000</v>
      </c>
      <c r="P362" s="14" t="s">
        <v>59</v>
      </c>
    </row>
    <row r="363" spans="1:16" x14ac:dyDescent="0.3">
      <c r="A363" s="8" t="s">
        <v>728</v>
      </c>
      <c r="B363" s="9">
        <v>1483604</v>
      </c>
      <c r="C363" s="10" t="s">
        <v>729</v>
      </c>
      <c r="D363" s="11">
        <v>43922</v>
      </c>
      <c r="E363" s="11">
        <v>43923</v>
      </c>
      <c r="F363" s="31">
        <v>36816642</v>
      </c>
      <c r="G363" s="32">
        <v>0</v>
      </c>
      <c r="H363" s="8" t="s">
        <v>730</v>
      </c>
      <c r="I363" s="12">
        <v>860054854</v>
      </c>
      <c r="J363" s="13" t="s">
        <v>731</v>
      </c>
      <c r="K363" s="14">
        <v>22</v>
      </c>
      <c r="L363" s="15" t="s">
        <v>250</v>
      </c>
      <c r="M363" s="16">
        <v>36236</v>
      </c>
      <c r="N363" s="16">
        <v>0</v>
      </c>
      <c r="O363" s="16">
        <f t="shared" si="14"/>
        <v>797192</v>
      </c>
      <c r="P363" s="14" t="s">
        <v>25</v>
      </c>
    </row>
    <row r="364" spans="1:16" x14ac:dyDescent="0.3">
      <c r="A364" s="8" t="s">
        <v>728</v>
      </c>
      <c r="B364" s="9">
        <v>1483604</v>
      </c>
      <c r="C364" s="10" t="s">
        <v>729</v>
      </c>
      <c r="D364" s="11">
        <v>43922</v>
      </c>
      <c r="E364" s="11">
        <v>43923</v>
      </c>
      <c r="F364" s="31">
        <v>36816642</v>
      </c>
      <c r="G364" s="32">
        <v>0</v>
      </c>
      <c r="H364" s="8" t="s">
        <v>730</v>
      </c>
      <c r="I364" s="12">
        <v>860054854</v>
      </c>
      <c r="J364" s="13" t="s">
        <v>732</v>
      </c>
      <c r="K364" s="14">
        <v>1325</v>
      </c>
      <c r="L364" s="15" t="s">
        <v>250</v>
      </c>
      <c r="M364" s="16">
        <v>22146</v>
      </c>
      <c r="N364" s="16">
        <v>0</v>
      </c>
      <c r="O364" s="16">
        <f t="shared" si="14"/>
        <v>29343450</v>
      </c>
      <c r="P364" s="14" t="s">
        <v>21</v>
      </c>
    </row>
    <row r="365" spans="1:16" x14ac:dyDescent="0.3">
      <c r="A365" s="8" t="s">
        <v>728</v>
      </c>
      <c r="B365" s="9">
        <v>1483604</v>
      </c>
      <c r="C365" s="10" t="s">
        <v>729</v>
      </c>
      <c r="D365" s="11">
        <v>43922</v>
      </c>
      <c r="E365" s="11">
        <v>43923</v>
      </c>
      <c r="F365" s="31">
        <v>36816642</v>
      </c>
      <c r="G365" s="32">
        <v>0</v>
      </c>
      <c r="H365" s="8" t="s">
        <v>730</v>
      </c>
      <c r="I365" s="12">
        <v>860054854</v>
      </c>
      <c r="J365" s="13" t="s">
        <v>733</v>
      </c>
      <c r="K365" s="14">
        <v>1000</v>
      </c>
      <c r="L365" s="15" t="s">
        <v>250</v>
      </c>
      <c r="M365" s="16">
        <v>6676</v>
      </c>
      <c r="N365" s="16">
        <v>0</v>
      </c>
      <c r="O365" s="16">
        <f t="shared" si="14"/>
        <v>6676000</v>
      </c>
      <c r="P365" s="14" t="s">
        <v>95</v>
      </c>
    </row>
    <row r="366" spans="1:16" x14ac:dyDescent="0.3">
      <c r="A366" s="8" t="s">
        <v>728</v>
      </c>
      <c r="B366" s="9">
        <v>1491804</v>
      </c>
      <c r="C366" s="10" t="s">
        <v>734</v>
      </c>
      <c r="D366" s="11">
        <v>43927</v>
      </c>
      <c r="E366" s="11">
        <v>43928</v>
      </c>
      <c r="F366" s="31">
        <v>82970740</v>
      </c>
      <c r="G366" s="32">
        <v>0</v>
      </c>
      <c r="H366" s="8" t="s">
        <v>735</v>
      </c>
      <c r="I366" s="12">
        <v>59311027</v>
      </c>
      <c r="J366" s="13" t="s">
        <v>736</v>
      </c>
      <c r="K366" s="14">
        <v>124</v>
      </c>
      <c r="L366" s="15" t="s">
        <v>531</v>
      </c>
      <c r="M366" s="16">
        <v>15650</v>
      </c>
      <c r="N366" s="16">
        <v>0</v>
      </c>
      <c r="O366" s="16">
        <f t="shared" si="14"/>
        <v>1940600</v>
      </c>
      <c r="P366" s="14" t="s">
        <v>23</v>
      </c>
    </row>
    <row r="367" spans="1:16" x14ac:dyDescent="0.3">
      <c r="A367" s="8" t="s">
        <v>728</v>
      </c>
      <c r="B367" s="9">
        <v>1491804</v>
      </c>
      <c r="C367" s="10" t="s">
        <v>734</v>
      </c>
      <c r="D367" s="11">
        <v>43927</v>
      </c>
      <c r="E367" s="11">
        <v>43928</v>
      </c>
      <c r="F367" s="31">
        <v>82970740</v>
      </c>
      <c r="G367" s="32">
        <v>0</v>
      </c>
      <c r="H367" s="8" t="s">
        <v>735</v>
      </c>
      <c r="I367" s="12">
        <v>59311027</v>
      </c>
      <c r="J367" s="13" t="s">
        <v>1483</v>
      </c>
      <c r="K367" s="14">
        <v>3496</v>
      </c>
      <c r="L367" s="15" t="s">
        <v>172</v>
      </c>
      <c r="M367" s="16">
        <v>4289.4736842105267</v>
      </c>
      <c r="N367" s="16">
        <v>0</v>
      </c>
      <c r="O367" s="16">
        <f t="shared" si="14"/>
        <v>14996000.000000002</v>
      </c>
      <c r="P367" s="14" t="s">
        <v>36</v>
      </c>
    </row>
    <row r="368" spans="1:16" x14ac:dyDescent="0.3">
      <c r="A368" s="8" t="s">
        <v>728</v>
      </c>
      <c r="B368" s="9">
        <v>1491804</v>
      </c>
      <c r="C368" s="10" t="s">
        <v>734</v>
      </c>
      <c r="D368" s="11">
        <v>43927</v>
      </c>
      <c r="E368" s="11">
        <v>43928</v>
      </c>
      <c r="F368" s="31">
        <v>82970740</v>
      </c>
      <c r="G368" s="32">
        <v>0</v>
      </c>
      <c r="H368" s="8" t="s">
        <v>735</v>
      </c>
      <c r="I368" s="12">
        <v>59311027</v>
      </c>
      <c r="J368" s="13" t="s">
        <v>1444</v>
      </c>
      <c r="K368" s="24">
        <v>467.4</v>
      </c>
      <c r="L368" s="15" t="s">
        <v>172</v>
      </c>
      <c r="M368" s="16">
        <v>16342.105263157895</v>
      </c>
      <c r="N368" s="16">
        <v>0</v>
      </c>
      <c r="O368" s="16">
        <f t="shared" si="14"/>
        <v>7638300</v>
      </c>
      <c r="P368" s="14" t="s">
        <v>34</v>
      </c>
    </row>
    <row r="369" spans="1:16" x14ac:dyDescent="0.3">
      <c r="A369" s="8" t="s">
        <v>728</v>
      </c>
      <c r="B369" s="9">
        <v>1491804</v>
      </c>
      <c r="C369" s="10" t="s">
        <v>734</v>
      </c>
      <c r="D369" s="11">
        <v>43927</v>
      </c>
      <c r="E369" s="11">
        <v>43928</v>
      </c>
      <c r="F369" s="31">
        <v>82970740</v>
      </c>
      <c r="G369" s="32">
        <v>0</v>
      </c>
      <c r="H369" s="8" t="s">
        <v>735</v>
      </c>
      <c r="I369" s="12">
        <v>59311027</v>
      </c>
      <c r="J369" s="13" t="s">
        <v>33</v>
      </c>
      <c r="K369" s="24">
        <v>7.5</v>
      </c>
      <c r="L369" s="15" t="s">
        <v>172</v>
      </c>
      <c r="M369" s="16">
        <v>27600</v>
      </c>
      <c r="N369" s="16">
        <v>0</v>
      </c>
      <c r="O369" s="16">
        <f t="shared" si="14"/>
        <v>207000</v>
      </c>
      <c r="P369" s="14" t="s">
        <v>34</v>
      </c>
    </row>
    <row r="370" spans="1:16" x14ac:dyDescent="0.3">
      <c r="A370" s="8" t="s">
        <v>728</v>
      </c>
      <c r="B370" s="9">
        <v>1491804</v>
      </c>
      <c r="C370" s="10" t="s">
        <v>734</v>
      </c>
      <c r="D370" s="11">
        <v>43927</v>
      </c>
      <c r="E370" s="11">
        <v>43928</v>
      </c>
      <c r="F370" s="31">
        <v>82970740</v>
      </c>
      <c r="G370" s="32">
        <v>0</v>
      </c>
      <c r="H370" s="8" t="s">
        <v>735</v>
      </c>
      <c r="I370" s="12">
        <v>59311027</v>
      </c>
      <c r="J370" s="13" t="s">
        <v>737</v>
      </c>
      <c r="K370" s="14">
        <v>168</v>
      </c>
      <c r="L370" s="15" t="s">
        <v>250</v>
      </c>
      <c r="M370" s="16">
        <v>94500</v>
      </c>
      <c r="N370" s="16">
        <v>0</v>
      </c>
      <c r="O370" s="16">
        <f t="shared" si="14"/>
        <v>15876000</v>
      </c>
      <c r="P370" s="14" t="s">
        <v>1383</v>
      </c>
    </row>
    <row r="371" spans="1:16" x14ac:dyDescent="0.3">
      <c r="A371" s="8" t="s">
        <v>728</v>
      </c>
      <c r="B371" s="9">
        <v>1491804</v>
      </c>
      <c r="C371" s="10" t="s">
        <v>734</v>
      </c>
      <c r="D371" s="11">
        <v>43927</v>
      </c>
      <c r="E371" s="11">
        <v>43928</v>
      </c>
      <c r="F371" s="31">
        <v>82970740</v>
      </c>
      <c r="G371" s="32">
        <v>0</v>
      </c>
      <c r="H371" s="8" t="s">
        <v>735</v>
      </c>
      <c r="I371" s="12">
        <v>59311027</v>
      </c>
      <c r="J371" s="13" t="s">
        <v>738</v>
      </c>
      <c r="K371" s="14">
        <v>60</v>
      </c>
      <c r="L371" s="15" t="s">
        <v>250</v>
      </c>
      <c r="M371" s="16">
        <v>54500</v>
      </c>
      <c r="N371" s="16">
        <v>0</v>
      </c>
      <c r="O371" s="16">
        <f t="shared" si="14"/>
        <v>3270000</v>
      </c>
      <c r="P371" s="14" t="s">
        <v>1383</v>
      </c>
    </row>
    <row r="372" spans="1:16" x14ac:dyDescent="0.3">
      <c r="A372" s="8" t="s">
        <v>728</v>
      </c>
      <c r="B372" s="9">
        <v>1491804</v>
      </c>
      <c r="C372" s="10" t="s">
        <v>734</v>
      </c>
      <c r="D372" s="11">
        <v>43927</v>
      </c>
      <c r="E372" s="11">
        <v>43928</v>
      </c>
      <c r="F372" s="31">
        <v>82970740</v>
      </c>
      <c r="G372" s="32">
        <v>0</v>
      </c>
      <c r="H372" s="8" t="s">
        <v>735</v>
      </c>
      <c r="I372" s="12">
        <v>59311027</v>
      </c>
      <c r="J372" s="13" t="s">
        <v>739</v>
      </c>
      <c r="K372" s="14">
        <v>120</v>
      </c>
      <c r="L372" s="15" t="s">
        <v>250</v>
      </c>
      <c r="M372" s="16">
        <v>195782</v>
      </c>
      <c r="N372" s="16">
        <v>0</v>
      </c>
      <c r="O372" s="16">
        <f t="shared" si="14"/>
        <v>23493840</v>
      </c>
      <c r="P372" s="14" t="s">
        <v>1383</v>
      </c>
    </row>
    <row r="373" spans="1:16" x14ac:dyDescent="0.3">
      <c r="A373" s="8" t="s">
        <v>728</v>
      </c>
      <c r="B373" s="9">
        <v>1491804</v>
      </c>
      <c r="C373" s="10" t="s">
        <v>734</v>
      </c>
      <c r="D373" s="11">
        <v>43927</v>
      </c>
      <c r="E373" s="11">
        <v>43928</v>
      </c>
      <c r="F373" s="31">
        <v>82970740</v>
      </c>
      <c r="G373" s="32">
        <v>0</v>
      </c>
      <c r="H373" s="8" t="s">
        <v>735</v>
      </c>
      <c r="I373" s="12">
        <v>59311027</v>
      </c>
      <c r="J373" s="13" t="s">
        <v>740</v>
      </c>
      <c r="K373" s="14">
        <v>852</v>
      </c>
      <c r="L373" s="15" t="s">
        <v>1369</v>
      </c>
      <c r="M373" s="16">
        <v>18250</v>
      </c>
      <c r="N373" s="16">
        <v>0</v>
      </c>
      <c r="O373" s="16">
        <f t="shared" si="14"/>
        <v>15549000</v>
      </c>
      <c r="P373" s="14" t="s">
        <v>94</v>
      </c>
    </row>
    <row r="374" spans="1:16" x14ac:dyDescent="0.3">
      <c r="A374" s="8" t="s">
        <v>728</v>
      </c>
      <c r="B374" s="9">
        <v>1491804</v>
      </c>
      <c r="C374" s="10" t="s">
        <v>734</v>
      </c>
      <c r="D374" s="11">
        <v>43927</v>
      </c>
      <c r="E374" s="11">
        <v>43928</v>
      </c>
      <c r="F374" s="31">
        <v>0</v>
      </c>
      <c r="G374" s="32">
        <v>39472098</v>
      </c>
      <c r="H374" s="8" t="s">
        <v>735</v>
      </c>
      <c r="I374" s="12">
        <v>59311027</v>
      </c>
      <c r="J374" s="13" t="s">
        <v>737</v>
      </c>
      <c r="K374" s="14">
        <v>66</v>
      </c>
      <c r="L374" s="15" t="s">
        <v>250</v>
      </c>
      <c r="M374" s="16">
        <v>94500</v>
      </c>
      <c r="N374" s="16">
        <v>0</v>
      </c>
      <c r="O374" s="16">
        <f t="shared" si="14"/>
        <v>6237000</v>
      </c>
      <c r="P374" s="14" t="s">
        <v>1383</v>
      </c>
    </row>
    <row r="375" spans="1:16" x14ac:dyDescent="0.3">
      <c r="A375" s="8" t="s">
        <v>728</v>
      </c>
      <c r="B375" s="9">
        <v>1491804</v>
      </c>
      <c r="C375" s="10" t="s">
        <v>734</v>
      </c>
      <c r="D375" s="11">
        <v>43927</v>
      </c>
      <c r="E375" s="11">
        <v>43928</v>
      </c>
      <c r="F375" s="31">
        <v>0</v>
      </c>
      <c r="G375" s="32">
        <v>39472098</v>
      </c>
      <c r="H375" s="8" t="s">
        <v>735</v>
      </c>
      <c r="I375" s="12">
        <v>59311027</v>
      </c>
      <c r="J375" s="13" t="s">
        <v>738</v>
      </c>
      <c r="K375" s="14">
        <v>49</v>
      </c>
      <c r="L375" s="15" t="s">
        <v>250</v>
      </c>
      <c r="M375" s="16">
        <v>54500</v>
      </c>
      <c r="N375" s="16">
        <v>0</v>
      </c>
      <c r="O375" s="16">
        <f t="shared" si="14"/>
        <v>2670500</v>
      </c>
      <c r="P375" s="14" t="s">
        <v>1383</v>
      </c>
    </row>
    <row r="376" spans="1:16" x14ac:dyDescent="0.3">
      <c r="A376" s="8" t="s">
        <v>728</v>
      </c>
      <c r="B376" s="9">
        <v>1491804</v>
      </c>
      <c r="C376" s="10" t="s">
        <v>734</v>
      </c>
      <c r="D376" s="11">
        <v>43927</v>
      </c>
      <c r="E376" s="11">
        <v>43928</v>
      </c>
      <c r="F376" s="31">
        <v>0</v>
      </c>
      <c r="G376" s="32">
        <v>39472098</v>
      </c>
      <c r="H376" s="8" t="s">
        <v>735</v>
      </c>
      <c r="I376" s="12">
        <v>59311027</v>
      </c>
      <c r="J376" s="13" t="s">
        <v>739</v>
      </c>
      <c r="K376" s="14">
        <v>89</v>
      </c>
      <c r="L376" s="15" t="s">
        <v>250</v>
      </c>
      <c r="M376" s="16">
        <v>195782</v>
      </c>
      <c r="N376" s="16">
        <v>0</v>
      </c>
      <c r="O376" s="16">
        <f t="shared" si="14"/>
        <v>17424598</v>
      </c>
      <c r="P376" s="14" t="s">
        <v>1383</v>
      </c>
    </row>
    <row r="377" spans="1:16" x14ac:dyDescent="0.3">
      <c r="A377" s="8" t="s">
        <v>728</v>
      </c>
      <c r="B377" s="9">
        <v>1491804</v>
      </c>
      <c r="C377" s="10" t="s">
        <v>734</v>
      </c>
      <c r="D377" s="11">
        <v>43927</v>
      </c>
      <c r="E377" s="11">
        <v>43928</v>
      </c>
      <c r="F377" s="31">
        <v>0</v>
      </c>
      <c r="G377" s="32">
        <v>39472098</v>
      </c>
      <c r="H377" s="8" t="s">
        <v>735</v>
      </c>
      <c r="I377" s="12">
        <v>59311027</v>
      </c>
      <c r="J377" s="13" t="s">
        <v>740</v>
      </c>
      <c r="K377" s="14">
        <v>720</v>
      </c>
      <c r="L377" s="15" t="s">
        <v>1369</v>
      </c>
      <c r="M377" s="16">
        <v>18250</v>
      </c>
      <c r="N377" s="16">
        <v>0</v>
      </c>
      <c r="O377" s="16">
        <f t="shared" si="14"/>
        <v>13140000</v>
      </c>
      <c r="P377" s="14" t="s">
        <v>94</v>
      </c>
    </row>
    <row r="378" spans="1:16" x14ac:dyDescent="0.3">
      <c r="A378" s="8" t="s">
        <v>728</v>
      </c>
      <c r="B378" s="9">
        <v>1547625</v>
      </c>
      <c r="C378" s="10" t="s">
        <v>741</v>
      </c>
      <c r="D378" s="11">
        <v>43957</v>
      </c>
      <c r="E378" s="11">
        <v>43959</v>
      </c>
      <c r="F378" s="31">
        <v>24999480</v>
      </c>
      <c r="G378" s="32">
        <v>0</v>
      </c>
      <c r="H378" s="8" t="s">
        <v>742</v>
      </c>
      <c r="I378" s="12">
        <v>813005241</v>
      </c>
      <c r="J378" s="13" t="s">
        <v>743</v>
      </c>
      <c r="K378" s="14">
        <f>378.78*50</f>
        <v>18939</v>
      </c>
      <c r="L378" s="15" t="s">
        <v>250</v>
      </c>
      <c r="M378" s="16">
        <f>66000/50</f>
        <v>1320</v>
      </c>
      <c r="N378" s="16">
        <v>0</v>
      </c>
      <c r="O378" s="16">
        <f t="shared" si="14"/>
        <v>24999480</v>
      </c>
      <c r="P378" s="14" t="s">
        <v>95</v>
      </c>
    </row>
    <row r="379" spans="1:16" x14ac:dyDescent="0.3">
      <c r="A379" s="8" t="s">
        <v>728</v>
      </c>
      <c r="B379" s="9">
        <v>1574446</v>
      </c>
      <c r="C379" s="10" t="s">
        <v>744</v>
      </c>
      <c r="D379" s="11">
        <v>43970</v>
      </c>
      <c r="E379" s="11">
        <v>43971</v>
      </c>
      <c r="F379" s="31">
        <v>5488560</v>
      </c>
      <c r="G379" s="32">
        <v>0</v>
      </c>
      <c r="H379" s="8" t="s">
        <v>745</v>
      </c>
      <c r="I379" s="12">
        <v>901143417</v>
      </c>
      <c r="J379" s="13" t="s">
        <v>33</v>
      </c>
      <c r="K379" s="24">
        <v>302.39999999999998</v>
      </c>
      <c r="L379" s="15" t="s">
        <v>172</v>
      </c>
      <c r="M379" s="16">
        <v>18150</v>
      </c>
      <c r="N379" s="16">
        <v>0</v>
      </c>
      <c r="O379" s="16">
        <f t="shared" si="14"/>
        <v>5488560</v>
      </c>
      <c r="P379" s="14" t="s">
        <v>34</v>
      </c>
    </row>
    <row r="380" spans="1:16" x14ac:dyDescent="0.3">
      <c r="A380" s="8" t="s">
        <v>728</v>
      </c>
      <c r="B380" s="9" t="s">
        <v>746</v>
      </c>
      <c r="C380" s="10" t="s">
        <v>747</v>
      </c>
      <c r="D380" s="11">
        <v>43949</v>
      </c>
      <c r="E380" s="11">
        <v>43949</v>
      </c>
      <c r="F380" s="31">
        <v>4020100</v>
      </c>
      <c r="G380" s="32">
        <v>0</v>
      </c>
      <c r="H380" s="8" t="s">
        <v>748</v>
      </c>
      <c r="I380" s="12">
        <v>900225460</v>
      </c>
      <c r="J380" s="13" t="s">
        <v>23</v>
      </c>
      <c r="K380" s="14">
        <v>200</v>
      </c>
      <c r="L380" s="15" t="s">
        <v>531</v>
      </c>
      <c r="M380" s="16">
        <v>20100.5</v>
      </c>
      <c r="N380" s="16">
        <v>0</v>
      </c>
      <c r="O380" s="16">
        <f t="shared" si="14"/>
        <v>4020100</v>
      </c>
      <c r="P380" s="14" t="s">
        <v>23</v>
      </c>
    </row>
    <row r="381" spans="1:16" x14ac:dyDescent="0.3">
      <c r="A381" s="8" t="s">
        <v>728</v>
      </c>
      <c r="B381" s="9" t="s">
        <v>749</v>
      </c>
      <c r="C381" s="10" t="s">
        <v>747</v>
      </c>
      <c r="D381" s="11">
        <v>43949</v>
      </c>
      <c r="E381" s="11">
        <v>43949</v>
      </c>
      <c r="F381" s="31">
        <v>1055276.3999999999</v>
      </c>
      <c r="G381" s="32">
        <v>0</v>
      </c>
      <c r="H381" s="8" t="s">
        <v>748</v>
      </c>
      <c r="I381" s="12">
        <v>900225460</v>
      </c>
      <c r="J381" s="13" t="s">
        <v>59</v>
      </c>
      <c r="K381" s="14">
        <v>15</v>
      </c>
      <c r="L381" s="15" t="s">
        <v>531</v>
      </c>
      <c r="M381" s="16">
        <f>35175.88*2</f>
        <v>70351.759999999995</v>
      </c>
      <c r="N381" s="16">
        <v>0</v>
      </c>
      <c r="O381" s="16">
        <f t="shared" si="14"/>
        <v>1055276.3999999999</v>
      </c>
      <c r="P381" s="14" t="s">
        <v>59</v>
      </c>
    </row>
    <row r="382" spans="1:16" x14ac:dyDescent="0.3">
      <c r="A382" s="8" t="s">
        <v>728</v>
      </c>
      <c r="B382" s="9" t="s">
        <v>750</v>
      </c>
      <c r="C382" s="10" t="s">
        <v>751</v>
      </c>
      <c r="D382" s="11">
        <v>43951</v>
      </c>
      <c r="E382" s="11">
        <v>43951</v>
      </c>
      <c r="F382" s="31">
        <v>634758</v>
      </c>
      <c r="G382" s="32">
        <v>0</v>
      </c>
      <c r="H382" s="8" t="s">
        <v>200</v>
      </c>
      <c r="I382" s="12">
        <v>830037946</v>
      </c>
      <c r="J382" s="13" t="s">
        <v>752</v>
      </c>
      <c r="K382" s="14">
        <v>1</v>
      </c>
      <c r="L382" s="15" t="s">
        <v>250</v>
      </c>
      <c r="M382" s="16">
        <v>631600</v>
      </c>
      <c r="N382" s="16">
        <v>3158</v>
      </c>
      <c r="O382" s="16">
        <f t="shared" si="14"/>
        <v>634758</v>
      </c>
      <c r="P382" s="14" t="s">
        <v>136</v>
      </c>
    </row>
    <row r="383" spans="1:16" x14ac:dyDescent="0.3">
      <c r="A383" s="8" t="s">
        <v>728</v>
      </c>
      <c r="B383" s="9" t="s">
        <v>753</v>
      </c>
      <c r="C383" s="10" t="s">
        <v>751</v>
      </c>
      <c r="D383" s="11">
        <v>43951</v>
      </c>
      <c r="E383" s="11">
        <v>43951</v>
      </c>
      <c r="F383" s="31">
        <v>3808548</v>
      </c>
      <c r="G383" s="32">
        <v>0</v>
      </c>
      <c r="H383" s="8" t="s">
        <v>200</v>
      </c>
      <c r="I383" s="12">
        <v>830037946</v>
      </c>
      <c r="J383" s="13" t="s">
        <v>754</v>
      </c>
      <c r="K383" s="14">
        <v>6</v>
      </c>
      <c r="L383" s="15" t="s">
        <v>250</v>
      </c>
      <c r="M383" s="16">
        <v>631600</v>
      </c>
      <c r="N383" s="16">
        <v>3158</v>
      </c>
      <c r="O383" s="16">
        <f t="shared" ref="O383:O446" si="15">K383*(M383+N383)</f>
        <v>3808548</v>
      </c>
      <c r="P383" s="14" t="s">
        <v>136</v>
      </c>
    </row>
    <row r="384" spans="1:16" x14ac:dyDescent="0.3">
      <c r="A384" s="8" t="s">
        <v>728</v>
      </c>
      <c r="B384" s="9" t="s">
        <v>755</v>
      </c>
      <c r="C384" s="10" t="s">
        <v>756</v>
      </c>
      <c r="D384" s="11">
        <v>43970</v>
      </c>
      <c r="E384" s="11">
        <v>43970</v>
      </c>
      <c r="F384" s="31">
        <v>12206031</v>
      </c>
      <c r="G384" s="32">
        <v>0</v>
      </c>
      <c r="H384" s="8" t="s">
        <v>224</v>
      </c>
      <c r="I384" s="12">
        <v>900300970</v>
      </c>
      <c r="J384" s="13" t="s">
        <v>96</v>
      </c>
      <c r="K384" s="24">
        <v>225</v>
      </c>
      <c r="L384" s="15" t="s">
        <v>172</v>
      </c>
      <c r="M384" s="16">
        <v>9581.24</v>
      </c>
      <c r="N384" s="16">
        <v>0</v>
      </c>
      <c r="O384" s="16">
        <f t="shared" si="15"/>
        <v>2155779</v>
      </c>
      <c r="P384" s="14" t="s">
        <v>96</v>
      </c>
    </row>
    <row r="385" spans="1:16" x14ac:dyDescent="0.3">
      <c r="A385" s="8" t="s">
        <v>728</v>
      </c>
      <c r="B385" s="9" t="s">
        <v>755</v>
      </c>
      <c r="C385" s="10" t="s">
        <v>756</v>
      </c>
      <c r="D385" s="11">
        <v>43970</v>
      </c>
      <c r="E385" s="11">
        <v>43970</v>
      </c>
      <c r="F385" s="31">
        <v>12206031</v>
      </c>
      <c r="G385" s="32">
        <v>0</v>
      </c>
      <c r="H385" s="8" t="s">
        <v>224</v>
      </c>
      <c r="I385" s="12">
        <v>900300970</v>
      </c>
      <c r="J385" s="13" t="s">
        <v>1454</v>
      </c>
      <c r="K385" s="24">
        <v>750</v>
      </c>
      <c r="L385" s="15" t="s">
        <v>172</v>
      </c>
      <c r="M385" s="16">
        <v>13400.335999999999</v>
      </c>
      <c r="N385" s="16">
        <v>0</v>
      </c>
      <c r="O385" s="16">
        <f t="shared" si="15"/>
        <v>10050252</v>
      </c>
      <c r="P385" s="14" t="s">
        <v>96</v>
      </c>
    </row>
    <row r="386" spans="1:16" x14ac:dyDescent="0.3">
      <c r="A386" s="8" t="s">
        <v>728</v>
      </c>
      <c r="B386" s="9" t="s">
        <v>757</v>
      </c>
      <c r="C386" s="10" t="s">
        <v>756</v>
      </c>
      <c r="D386" s="11">
        <v>43970</v>
      </c>
      <c r="E386" s="11">
        <v>43970</v>
      </c>
      <c r="F386" s="31">
        <v>8422110</v>
      </c>
      <c r="G386" s="32">
        <v>0</v>
      </c>
      <c r="H386" s="8" t="s">
        <v>185</v>
      </c>
      <c r="I386" s="12">
        <v>10125834</v>
      </c>
      <c r="J386" s="13" t="s">
        <v>1445</v>
      </c>
      <c r="K386" s="24">
        <v>750</v>
      </c>
      <c r="L386" s="15" t="s">
        <v>172</v>
      </c>
      <c r="M386" s="16">
        <v>11229.48</v>
      </c>
      <c r="N386" s="16">
        <v>0</v>
      </c>
      <c r="O386" s="16">
        <f t="shared" si="15"/>
        <v>8422110</v>
      </c>
      <c r="P386" s="14" t="s">
        <v>34</v>
      </c>
    </row>
    <row r="387" spans="1:16" x14ac:dyDescent="0.3">
      <c r="A387" s="8" t="s">
        <v>728</v>
      </c>
      <c r="B387" s="9" t="s">
        <v>757</v>
      </c>
      <c r="C387" s="10" t="s">
        <v>756</v>
      </c>
      <c r="D387" s="11">
        <v>43970</v>
      </c>
      <c r="E387" s="11">
        <v>43970</v>
      </c>
      <c r="F387" s="31">
        <v>3817086</v>
      </c>
      <c r="G387" s="32">
        <v>0</v>
      </c>
      <c r="H387" s="8" t="s">
        <v>185</v>
      </c>
      <c r="I387" s="12">
        <v>10125834</v>
      </c>
      <c r="J387" s="13" t="s">
        <v>1484</v>
      </c>
      <c r="K387" s="14">
        <v>757</v>
      </c>
      <c r="L387" s="15" t="s">
        <v>172</v>
      </c>
      <c r="M387" s="16">
        <v>5042.3857331571999</v>
      </c>
      <c r="N387" s="16">
        <v>0</v>
      </c>
      <c r="O387" s="16">
        <f t="shared" si="15"/>
        <v>3817086.0000000005</v>
      </c>
      <c r="P387" s="14" t="s">
        <v>36</v>
      </c>
    </row>
    <row r="388" spans="1:16" x14ac:dyDescent="0.3">
      <c r="A388" s="8" t="s">
        <v>728</v>
      </c>
      <c r="B388" s="9" t="s">
        <v>758</v>
      </c>
      <c r="C388" s="10" t="s">
        <v>759</v>
      </c>
      <c r="D388" s="11">
        <v>43970</v>
      </c>
      <c r="E388" s="11">
        <v>43970</v>
      </c>
      <c r="F388" s="31">
        <v>984924.5</v>
      </c>
      <c r="G388" s="32">
        <v>0</v>
      </c>
      <c r="H388" s="8" t="s">
        <v>760</v>
      </c>
      <c r="I388" s="12">
        <v>900350133</v>
      </c>
      <c r="J388" s="13" t="s">
        <v>1485</v>
      </c>
      <c r="K388" s="22">
        <v>185.465</v>
      </c>
      <c r="L388" s="15" t="s">
        <v>172</v>
      </c>
      <c r="M388" s="16">
        <v>5310.5680317040951</v>
      </c>
      <c r="N388" s="16">
        <v>0</v>
      </c>
      <c r="O388" s="16">
        <f t="shared" si="15"/>
        <v>984924.5</v>
      </c>
      <c r="P388" s="14" t="s">
        <v>36</v>
      </c>
    </row>
    <row r="389" spans="1:16" x14ac:dyDescent="0.3">
      <c r="A389" s="8" t="s">
        <v>728</v>
      </c>
      <c r="B389" s="9" t="s">
        <v>761</v>
      </c>
      <c r="C389" s="10" t="s">
        <v>759</v>
      </c>
      <c r="D389" s="11">
        <v>43970</v>
      </c>
      <c r="E389" s="11">
        <v>43970</v>
      </c>
      <c r="F389" s="31">
        <v>12512562</v>
      </c>
      <c r="G389" s="32">
        <v>0</v>
      </c>
      <c r="H389" s="8" t="s">
        <v>51</v>
      </c>
      <c r="I389" s="12">
        <v>8300013381</v>
      </c>
      <c r="J389" s="13" t="s">
        <v>1446</v>
      </c>
      <c r="K389" s="24">
        <v>1135.5</v>
      </c>
      <c r="L389" s="15" t="s">
        <v>172</v>
      </c>
      <c r="M389" s="16">
        <v>11019.429326287978</v>
      </c>
      <c r="N389" s="16">
        <v>0</v>
      </c>
      <c r="O389" s="16">
        <f t="shared" si="15"/>
        <v>12512562</v>
      </c>
      <c r="P389" s="14" t="s">
        <v>34</v>
      </c>
    </row>
    <row r="390" spans="1:16" x14ac:dyDescent="0.3">
      <c r="A390" s="8" t="s">
        <v>728</v>
      </c>
      <c r="B390" s="9" t="s">
        <v>762</v>
      </c>
      <c r="C390" s="10" t="s">
        <v>759</v>
      </c>
      <c r="D390" s="11">
        <v>43972</v>
      </c>
      <c r="E390" s="11">
        <v>43972</v>
      </c>
      <c r="F390" s="31">
        <v>2924622</v>
      </c>
      <c r="G390" s="32">
        <v>0</v>
      </c>
      <c r="H390" s="8" t="s">
        <v>227</v>
      </c>
      <c r="I390" s="12">
        <v>900704052</v>
      </c>
      <c r="J390" s="13" t="s">
        <v>1458</v>
      </c>
      <c r="K390" s="24">
        <v>150</v>
      </c>
      <c r="L390" s="15" t="s">
        <v>172</v>
      </c>
      <c r="M390" s="16">
        <v>19497.48</v>
      </c>
      <c r="N390" s="16">
        <v>0</v>
      </c>
      <c r="O390" s="16">
        <f t="shared" si="15"/>
        <v>2924622</v>
      </c>
      <c r="P390" s="14" t="s">
        <v>96</v>
      </c>
    </row>
    <row r="391" spans="1:16" x14ac:dyDescent="0.3">
      <c r="A391" s="8" t="s">
        <v>728</v>
      </c>
      <c r="B391" s="9" t="s">
        <v>763</v>
      </c>
      <c r="C391" s="10" t="s">
        <v>759</v>
      </c>
      <c r="D391" s="11">
        <v>43973</v>
      </c>
      <c r="E391" s="11">
        <v>43973</v>
      </c>
      <c r="F391" s="31">
        <v>1407035</v>
      </c>
      <c r="G391" s="32">
        <v>0</v>
      </c>
      <c r="H391" s="8" t="s">
        <v>764</v>
      </c>
      <c r="I391" s="12">
        <v>900922139</v>
      </c>
      <c r="J391" s="13" t="s">
        <v>1484</v>
      </c>
      <c r="K391" s="14">
        <v>50</v>
      </c>
      <c r="L391" s="15" t="s">
        <v>172</v>
      </c>
      <c r="M391" s="16">
        <v>28140.7</v>
      </c>
      <c r="N391" s="16">
        <v>0</v>
      </c>
      <c r="O391" s="16">
        <f t="shared" si="15"/>
        <v>1407035</v>
      </c>
      <c r="P391" s="14" t="s">
        <v>36</v>
      </c>
    </row>
    <row r="392" spans="1:16" x14ac:dyDescent="0.3">
      <c r="A392" s="8" t="s">
        <v>728</v>
      </c>
      <c r="B392" s="9" t="s">
        <v>765</v>
      </c>
      <c r="C392" s="10" t="s">
        <v>766</v>
      </c>
      <c r="D392" s="11">
        <v>43979</v>
      </c>
      <c r="E392" s="11">
        <v>43979</v>
      </c>
      <c r="F392" s="31">
        <v>10854000</v>
      </c>
      <c r="G392" s="32">
        <v>0</v>
      </c>
      <c r="H392" s="8" t="s">
        <v>200</v>
      </c>
      <c r="I392" s="12">
        <v>830037946</v>
      </c>
      <c r="J392" s="13" t="s">
        <v>767</v>
      </c>
      <c r="K392" s="14">
        <v>18</v>
      </c>
      <c r="L392" s="15" t="s">
        <v>250</v>
      </c>
      <c r="M392" s="16">
        <v>600000</v>
      </c>
      <c r="N392" s="16">
        <v>3000</v>
      </c>
      <c r="O392" s="16">
        <f t="shared" si="15"/>
        <v>10854000</v>
      </c>
      <c r="P392" s="14" t="s">
        <v>136</v>
      </c>
    </row>
    <row r="393" spans="1:16" x14ac:dyDescent="0.3">
      <c r="A393" s="8" t="s">
        <v>728</v>
      </c>
      <c r="B393" s="9">
        <v>1619602</v>
      </c>
      <c r="C393" s="10" t="s">
        <v>768</v>
      </c>
      <c r="D393" s="11">
        <v>43990</v>
      </c>
      <c r="E393" s="11">
        <v>43992</v>
      </c>
      <c r="F393" s="31">
        <v>57691400</v>
      </c>
      <c r="G393" s="32">
        <v>0</v>
      </c>
      <c r="H393" s="8" t="s">
        <v>769</v>
      </c>
      <c r="I393" s="12">
        <v>830014921</v>
      </c>
      <c r="J393" s="13" t="s">
        <v>770</v>
      </c>
      <c r="K393" s="14">
        <v>44.9</v>
      </c>
      <c r="L393" s="15" t="s">
        <v>771</v>
      </c>
      <c r="M393" s="16">
        <v>450000</v>
      </c>
      <c r="N393" s="16">
        <v>0</v>
      </c>
      <c r="O393" s="16">
        <f t="shared" si="15"/>
        <v>20205000</v>
      </c>
      <c r="P393" s="14" t="s">
        <v>1285</v>
      </c>
    </row>
    <row r="394" spans="1:16" x14ac:dyDescent="0.3">
      <c r="A394" s="8" t="s">
        <v>728</v>
      </c>
      <c r="B394" s="9">
        <v>1619602</v>
      </c>
      <c r="C394" s="10" t="s">
        <v>768</v>
      </c>
      <c r="D394" s="11">
        <v>43990</v>
      </c>
      <c r="E394" s="11">
        <v>43992</v>
      </c>
      <c r="F394" s="31">
        <v>57691400</v>
      </c>
      <c r="G394" s="32">
        <v>0</v>
      </c>
      <c r="H394" s="8" t="s">
        <v>769</v>
      </c>
      <c r="I394" s="12">
        <v>830014921</v>
      </c>
      <c r="J394" s="13" t="s">
        <v>772</v>
      </c>
      <c r="K394" s="14">
        <v>107.6</v>
      </c>
      <c r="L394" s="15" t="s">
        <v>771</v>
      </c>
      <c r="M394" s="16">
        <v>189000</v>
      </c>
      <c r="N394" s="16">
        <v>0</v>
      </c>
      <c r="O394" s="16">
        <f t="shared" si="15"/>
        <v>20336400</v>
      </c>
      <c r="P394" s="14" t="s">
        <v>1285</v>
      </c>
    </row>
    <row r="395" spans="1:16" x14ac:dyDescent="0.3">
      <c r="A395" s="8" t="s">
        <v>728</v>
      </c>
      <c r="B395" s="9">
        <v>1619602</v>
      </c>
      <c r="C395" s="10" t="s">
        <v>768</v>
      </c>
      <c r="D395" s="11">
        <v>43990</v>
      </c>
      <c r="E395" s="11">
        <v>43992</v>
      </c>
      <c r="F395" s="31">
        <v>57691400</v>
      </c>
      <c r="G395" s="32">
        <v>0</v>
      </c>
      <c r="H395" s="8" t="s">
        <v>769</v>
      </c>
      <c r="I395" s="12">
        <v>830014921</v>
      </c>
      <c r="J395" s="13" t="s">
        <v>773</v>
      </c>
      <c r="K395" s="14">
        <v>10</v>
      </c>
      <c r="L395" s="15" t="s">
        <v>250</v>
      </c>
      <c r="M395" s="16">
        <v>1628000</v>
      </c>
      <c r="N395" s="16">
        <v>0</v>
      </c>
      <c r="O395" s="16">
        <f t="shared" si="15"/>
        <v>16280000</v>
      </c>
      <c r="P395" s="14" t="s">
        <v>1286</v>
      </c>
    </row>
    <row r="396" spans="1:16" x14ac:dyDescent="0.3">
      <c r="A396" s="8" t="s">
        <v>728</v>
      </c>
      <c r="B396" s="9">
        <v>1619602</v>
      </c>
      <c r="C396" s="10" t="s">
        <v>768</v>
      </c>
      <c r="D396" s="11">
        <v>43990</v>
      </c>
      <c r="E396" s="11">
        <v>43992</v>
      </c>
      <c r="F396" s="31">
        <v>57691400</v>
      </c>
      <c r="G396" s="32">
        <v>0</v>
      </c>
      <c r="H396" s="8" t="s">
        <v>769</v>
      </c>
      <c r="I396" s="12">
        <v>830014921</v>
      </c>
      <c r="J396" s="13" t="s">
        <v>774</v>
      </c>
      <c r="K396" s="14">
        <v>10</v>
      </c>
      <c r="L396" s="15" t="s">
        <v>250</v>
      </c>
      <c r="M396" s="16">
        <v>87000</v>
      </c>
      <c r="N396" s="16">
        <v>0</v>
      </c>
      <c r="O396" s="16">
        <f t="shared" si="15"/>
        <v>870000</v>
      </c>
      <c r="P396" s="14" t="s">
        <v>1402</v>
      </c>
    </row>
    <row r="397" spans="1:16" x14ac:dyDescent="0.3">
      <c r="A397" s="8" t="s">
        <v>728</v>
      </c>
      <c r="B397" s="9">
        <v>1619602</v>
      </c>
      <c r="C397" s="10" t="s">
        <v>768</v>
      </c>
      <c r="D397" s="11">
        <v>43990</v>
      </c>
      <c r="E397" s="11">
        <v>43992</v>
      </c>
      <c r="F397" s="31">
        <v>0</v>
      </c>
      <c r="G397" s="32">
        <v>14563079</v>
      </c>
      <c r="H397" s="8" t="s">
        <v>769</v>
      </c>
      <c r="I397" s="12">
        <v>830014921</v>
      </c>
      <c r="J397" s="13" t="s">
        <v>770</v>
      </c>
      <c r="K397" s="14">
        <v>32.362397780000002</v>
      </c>
      <c r="L397" s="15" t="s">
        <v>771</v>
      </c>
      <c r="M397" s="16">
        <v>450000</v>
      </c>
      <c r="N397" s="16">
        <v>0</v>
      </c>
      <c r="O397" s="16">
        <f t="shared" si="15"/>
        <v>14563079.001</v>
      </c>
      <c r="P397" s="14" t="s">
        <v>1285</v>
      </c>
    </row>
    <row r="398" spans="1:16" x14ac:dyDescent="0.3">
      <c r="A398" s="8" t="s">
        <v>728</v>
      </c>
      <c r="B398" s="9">
        <v>1627319</v>
      </c>
      <c r="C398" s="10" t="s">
        <v>775</v>
      </c>
      <c r="D398" s="11">
        <v>43993</v>
      </c>
      <c r="E398" s="11">
        <v>43994</v>
      </c>
      <c r="F398" s="31">
        <v>32534320</v>
      </c>
      <c r="G398" s="32">
        <v>0</v>
      </c>
      <c r="H398" s="8" t="s">
        <v>776</v>
      </c>
      <c r="I398" s="12">
        <v>900990752</v>
      </c>
      <c r="J398" s="13" t="s">
        <v>777</v>
      </c>
      <c r="K398" s="14">
        <v>26</v>
      </c>
      <c r="L398" s="15" t="s">
        <v>250</v>
      </c>
      <c r="M398" s="16">
        <v>1251320</v>
      </c>
      <c r="N398" s="16">
        <v>0</v>
      </c>
      <c r="O398" s="16">
        <f t="shared" si="15"/>
        <v>32534320</v>
      </c>
      <c r="P398" s="14" t="s">
        <v>1274</v>
      </c>
    </row>
    <row r="399" spans="1:16" x14ac:dyDescent="0.3">
      <c r="A399" s="8" t="s">
        <v>728</v>
      </c>
      <c r="B399" s="9" t="s">
        <v>778</v>
      </c>
      <c r="C399" s="10" t="s">
        <v>779</v>
      </c>
      <c r="D399" s="11">
        <v>43998</v>
      </c>
      <c r="E399" s="11">
        <v>43998</v>
      </c>
      <c r="F399" s="31">
        <v>16884432</v>
      </c>
      <c r="G399" s="32">
        <v>0</v>
      </c>
      <c r="H399" s="8" t="s">
        <v>375</v>
      </c>
      <c r="I399" s="12">
        <v>890307682</v>
      </c>
      <c r="J399" s="13" t="s">
        <v>231</v>
      </c>
      <c r="K399" s="14">
        <v>2400</v>
      </c>
      <c r="L399" s="15" t="s">
        <v>250</v>
      </c>
      <c r="M399" s="16">
        <v>7035.18</v>
      </c>
      <c r="N399" s="16">
        <v>0</v>
      </c>
      <c r="O399" s="16">
        <f t="shared" si="15"/>
        <v>16884432</v>
      </c>
      <c r="P399" s="14" t="s">
        <v>232</v>
      </c>
    </row>
    <row r="400" spans="1:16" x14ac:dyDescent="0.3">
      <c r="A400" s="8" t="s">
        <v>728</v>
      </c>
      <c r="B400" s="9">
        <v>1642111</v>
      </c>
      <c r="C400" s="10" t="s">
        <v>780</v>
      </c>
      <c r="D400" s="11">
        <v>44001</v>
      </c>
      <c r="E400" s="11">
        <v>44005</v>
      </c>
      <c r="F400" s="31">
        <v>44287000</v>
      </c>
      <c r="G400" s="32">
        <v>0</v>
      </c>
      <c r="H400" s="8" t="s">
        <v>781</v>
      </c>
      <c r="I400" s="12">
        <v>1082127888</v>
      </c>
      <c r="J400" s="13" t="s">
        <v>782</v>
      </c>
      <c r="K400" s="14">
        <v>3</v>
      </c>
      <c r="L400" s="15" t="s">
        <v>1288</v>
      </c>
      <c r="M400" s="16">
        <v>938000</v>
      </c>
      <c r="N400" s="16">
        <v>0</v>
      </c>
      <c r="O400" s="16">
        <f t="shared" si="15"/>
        <v>2814000</v>
      </c>
      <c r="P400" s="14" t="s">
        <v>425</v>
      </c>
    </row>
    <row r="401" spans="1:16" x14ac:dyDescent="0.3">
      <c r="A401" s="8" t="s">
        <v>728</v>
      </c>
      <c r="B401" s="9">
        <v>1642111</v>
      </c>
      <c r="C401" s="10" t="s">
        <v>780</v>
      </c>
      <c r="D401" s="11">
        <v>44001</v>
      </c>
      <c r="E401" s="11">
        <v>44005</v>
      </c>
      <c r="F401" s="31">
        <v>44287000</v>
      </c>
      <c r="G401" s="32">
        <v>0</v>
      </c>
      <c r="H401" s="8" t="s">
        <v>781</v>
      </c>
      <c r="I401" s="12">
        <v>1082127888</v>
      </c>
      <c r="J401" s="13" t="s">
        <v>784</v>
      </c>
      <c r="K401" s="14">
        <v>3</v>
      </c>
      <c r="L401" s="15" t="s">
        <v>1288</v>
      </c>
      <c r="M401" s="16">
        <v>301500</v>
      </c>
      <c r="N401" s="16">
        <v>0</v>
      </c>
      <c r="O401" s="16">
        <f t="shared" si="15"/>
        <v>904500</v>
      </c>
      <c r="P401" s="14" t="s">
        <v>425</v>
      </c>
    </row>
    <row r="402" spans="1:16" x14ac:dyDescent="0.3">
      <c r="A402" s="8" t="s">
        <v>728</v>
      </c>
      <c r="B402" s="9">
        <v>1642111</v>
      </c>
      <c r="C402" s="10" t="s">
        <v>780</v>
      </c>
      <c r="D402" s="11">
        <v>44001</v>
      </c>
      <c r="E402" s="11">
        <v>44005</v>
      </c>
      <c r="F402" s="31">
        <v>44287000</v>
      </c>
      <c r="G402" s="32">
        <v>0</v>
      </c>
      <c r="H402" s="8" t="s">
        <v>781</v>
      </c>
      <c r="I402" s="12">
        <v>1082127888</v>
      </c>
      <c r="J402" s="13" t="s">
        <v>785</v>
      </c>
      <c r="K402" s="14">
        <v>3</v>
      </c>
      <c r="L402" s="15" t="s">
        <v>1288</v>
      </c>
      <c r="M402" s="16">
        <v>301500</v>
      </c>
      <c r="N402" s="16">
        <v>0</v>
      </c>
      <c r="O402" s="16">
        <f t="shared" si="15"/>
        <v>904500</v>
      </c>
      <c r="P402" s="14" t="s">
        <v>425</v>
      </c>
    </row>
    <row r="403" spans="1:16" x14ac:dyDescent="0.3">
      <c r="A403" s="8" t="s">
        <v>728</v>
      </c>
      <c r="B403" s="9">
        <v>1642111</v>
      </c>
      <c r="C403" s="10" t="s">
        <v>780</v>
      </c>
      <c r="D403" s="11">
        <v>44001</v>
      </c>
      <c r="E403" s="11">
        <v>44005</v>
      </c>
      <c r="F403" s="31">
        <v>44287000</v>
      </c>
      <c r="G403" s="32">
        <v>0</v>
      </c>
      <c r="H403" s="8" t="s">
        <v>781</v>
      </c>
      <c r="I403" s="12">
        <v>1082127888</v>
      </c>
      <c r="J403" s="13" t="s">
        <v>786</v>
      </c>
      <c r="K403" s="14">
        <v>3</v>
      </c>
      <c r="L403" s="15" t="s">
        <v>1288</v>
      </c>
      <c r="M403" s="16">
        <v>301500</v>
      </c>
      <c r="N403" s="16">
        <v>0</v>
      </c>
      <c r="O403" s="16">
        <f t="shared" si="15"/>
        <v>904500</v>
      </c>
      <c r="P403" s="14" t="s">
        <v>425</v>
      </c>
    </row>
    <row r="404" spans="1:16" x14ac:dyDescent="0.3">
      <c r="A404" s="8" t="s">
        <v>728</v>
      </c>
      <c r="B404" s="9">
        <v>1642111</v>
      </c>
      <c r="C404" s="10" t="s">
        <v>780</v>
      </c>
      <c r="D404" s="11">
        <v>44001</v>
      </c>
      <c r="E404" s="11">
        <v>44005</v>
      </c>
      <c r="F404" s="31">
        <v>44287000</v>
      </c>
      <c r="G404" s="32">
        <v>0</v>
      </c>
      <c r="H404" s="8" t="s">
        <v>781</v>
      </c>
      <c r="I404" s="12">
        <v>1082127888</v>
      </c>
      <c r="J404" s="13" t="s">
        <v>787</v>
      </c>
      <c r="K404" s="14">
        <v>3</v>
      </c>
      <c r="L404" s="15" t="s">
        <v>1288</v>
      </c>
      <c r="M404" s="16">
        <v>301500</v>
      </c>
      <c r="N404" s="16">
        <v>0</v>
      </c>
      <c r="O404" s="16">
        <f t="shared" si="15"/>
        <v>904500</v>
      </c>
      <c r="P404" s="14" t="s">
        <v>425</v>
      </c>
    </row>
    <row r="405" spans="1:16" x14ac:dyDescent="0.3">
      <c r="A405" s="8" t="s">
        <v>728</v>
      </c>
      <c r="B405" s="9">
        <v>1642111</v>
      </c>
      <c r="C405" s="10" t="s">
        <v>780</v>
      </c>
      <c r="D405" s="11">
        <v>44001</v>
      </c>
      <c r="E405" s="11">
        <v>44005</v>
      </c>
      <c r="F405" s="31">
        <v>44287000</v>
      </c>
      <c r="G405" s="32">
        <v>0</v>
      </c>
      <c r="H405" s="8" t="s">
        <v>781</v>
      </c>
      <c r="I405" s="12">
        <v>1082127888</v>
      </c>
      <c r="J405" s="13" t="s">
        <v>1269</v>
      </c>
      <c r="K405" s="14">
        <v>3</v>
      </c>
      <c r="L405" s="15" t="s">
        <v>1288</v>
      </c>
      <c r="M405" s="16">
        <v>301500</v>
      </c>
      <c r="N405" s="16">
        <v>0</v>
      </c>
      <c r="O405" s="16">
        <f t="shared" si="15"/>
        <v>904500</v>
      </c>
      <c r="P405" s="14" t="s">
        <v>425</v>
      </c>
    </row>
    <row r="406" spans="1:16" x14ac:dyDescent="0.3">
      <c r="A406" s="8" t="s">
        <v>728</v>
      </c>
      <c r="B406" s="9">
        <v>1642111</v>
      </c>
      <c r="C406" s="10" t="s">
        <v>780</v>
      </c>
      <c r="D406" s="11">
        <v>44001</v>
      </c>
      <c r="E406" s="11">
        <v>44005</v>
      </c>
      <c r="F406" s="31">
        <v>44287000</v>
      </c>
      <c r="G406" s="32">
        <v>0</v>
      </c>
      <c r="H406" s="8" t="s">
        <v>781</v>
      </c>
      <c r="I406" s="12">
        <v>1082127888</v>
      </c>
      <c r="J406" s="13" t="s">
        <v>788</v>
      </c>
      <c r="K406" s="14">
        <v>2</v>
      </c>
      <c r="L406" s="15" t="s">
        <v>1288</v>
      </c>
      <c r="M406" s="16">
        <v>201000</v>
      </c>
      <c r="N406" s="16">
        <v>0</v>
      </c>
      <c r="O406" s="16">
        <f t="shared" si="15"/>
        <v>402000</v>
      </c>
      <c r="P406" s="14" t="s">
        <v>425</v>
      </c>
    </row>
    <row r="407" spans="1:16" x14ac:dyDescent="0.3">
      <c r="A407" s="8" t="s">
        <v>728</v>
      </c>
      <c r="B407" s="9">
        <v>1642111</v>
      </c>
      <c r="C407" s="10" t="s">
        <v>780</v>
      </c>
      <c r="D407" s="11">
        <v>44001</v>
      </c>
      <c r="E407" s="11">
        <v>44005</v>
      </c>
      <c r="F407" s="31">
        <v>44287000</v>
      </c>
      <c r="G407" s="32">
        <v>0</v>
      </c>
      <c r="H407" s="8" t="s">
        <v>781</v>
      </c>
      <c r="I407" s="12">
        <v>1082127888</v>
      </c>
      <c r="J407" s="13" t="s">
        <v>789</v>
      </c>
      <c r="K407" s="14">
        <v>3</v>
      </c>
      <c r="L407" s="15" t="s">
        <v>1288</v>
      </c>
      <c r="M407" s="16">
        <v>301500</v>
      </c>
      <c r="N407" s="16">
        <v>0</v>
      </c>
      <c r="O407" s="16">
        <f t="shared" si="15"/>
        <v>904500</v>
      </c>
      <c r="P407" s="14" t="s">
        <v>425</v>
      </c>
    </row>
    <row r="408" spans="1:16" x14ac:dyDescent="0.3">
      <c r="A408" s="8" t="s">
        <v>728</v>
      </c>
      <c r="B408" s="9">
        <v>1642111</v>
      </c>
      <c r="C408" s="10" t="s">
        <v>780</v>
      </c>
      <c r="D408" s="11">
        <v>44001</v>
      </c>
      <c r="E408" s="11">
        <v>44005</v>
      </c>
      <c r="F408" s="31">
        <v>44287000</v>
      </c>
      <c r="G408" s="32">
        <v>0</v>
      </c>
      <c r="H408" s="8" t="s">
        <v>781</v>
      </c>
      <c r="I408" s="12">
        <v>1082127888</v>
      </c>
      <c r="J408" s="13" t="s">
        <v>790</v>
      </c>
      <c r="K408" s="14">
        <v>2</v>
      </c>
      <c r="L408" s="15" t="s">
        <v>1288</v>
      </c>
      <c r="M408" s="16">
        <v>234500</v>
      </c>
      <c r="N408" s="16">
        <v>0</v>
      </c>
      <c r="O408" s="16">
        <f t="shared" si="15"/>
        <v>469000</v>
      </c>
      <c r="P408" s="14" t="s">
        <v>425</v>
      </c>
    </row>
    <row r="409" spans="1:16" x14ac:dyDescent="0.3">
      <c r="A409" s="8" t="s">
        <v>728</v>
      </c>
      <c r="B409" s="9">
        <v>1642111</v>
      </c>
      <c r="C409" s="10" t="s">
        <v>780</v>
      </c>
      <c r="D409" s="11">
        <v>44001</v>
      </c>
      <c r="E409" s="11">
        <v>44005</v>
      </c>
      <c r="F409" s="31">
        <v>44287000</v>
      </c>
      <c r="G409" s="32">
        <v>0</v>
      </c>
      <c r="H409" s="8" t="s">
        <v>781</v>
      </c>
      <c r="I409" s="12">
        <v>1082127888</v>
      </c>
      <c r="J409" s="13" t="s">
        <v>791</v>
      </c>
      <c r="K409" s="14">
        <v>2</v>
      </c>
      <c r="L409" s="15" t="s">
        <v>1288</v>
      </c>
      <c r="M409" s="16">
        <v>234500</v>
      </c>
      <c r="N409" s="16">
        <v>0</v>
      </c>
      <c r="O409" s="16">
        <f t="shared" si="15"/>
        <v>469000</v>
      </c>
      <c r="P409" s="14" t="s">
        <v>425</v>
      </c>
    </row>
    <row r="410" spans="1:16" x14ac:dyDescent="0.3">
      <c r="A410" s="8" t="s">
        <v>728</v>
      </c>
      <c r="B410" s="9">
        <v>1642111</v>
      </c>
      <c r="C410" s="10" t="s">
        <v>780</v>
      </c>
      <c r="D410" s="11">
        <v>44001</v>
      </c>
      <c r="E410" s="11">
        <v>44005</v>
      </c>
      <c r="F410" s="31">
        <v>44287000</v>
      </c>
      <c r="G410" s="32">
        <v>0</v>
      </c>
      <c r="H410" s="8" t="s">
        <v>781</v>
      </c>
      <c r="I410" s="12">
        <v>1082127888</v>
      </c>
      <c r="J410" s="13" t="s">
        <v>792</v>
      </c>
      <c r="K410" s="14">
        <v>1</v>
      </c>
      <c r="L410" s="15" t="s">
        <v>1288</v>
      </c>
      <c r="M410" s="16">
        <v>201000</v>
      </c>
      <c r="N410" s="16">
        <v>0</v>
      </c>
      <c r="O410" s="16">
        <f t="shared" si="15"/>
        <v>201000</v>
      </c>
      <c r="P410" s="14" t="s">
        <v>425</v>
      </c>
    </row>
    <row r="411" spans="1:16" x14ac:dyDescent="0.3">
      <c r="A411" s="8" t="s">
        <v>728</v>
      </c>
      <c r="B411" s="9">
        <v>1642111</v>
      </c>
      <c r="C411" s="10" t="s">
        <v>780</v>
      </c>
      <c r="D411" s="11">
        <v>44001</v>
      </c>
      <c r="E411" s="11">
        <v>44005</v>
      </c>
      <c r="F411" s="31">
        <v>44287000</v>
      </c>
      <c r="G411" s="32">
        <v>0</v>
      </c>
      <c r="H411" s="8" t="s">
        <v>781</v>
      </c>
      <c r="I411" s="12">
        <v>1082127888</v>
      </c>
      <c r="J411" s="13" t="s">
        <v>793</v>
      </c>
      <c r="K411" s="14">
        <v>1</v>
      </c>
      <c r="L411" s="15" t="s">
        <v>1288</v>
      </c>
      <c r="M411" s="16">
        <v>201000</v>
      </c>
      <c r="N411" s="16">
        <v>0</v>
      </c>
      <c r="O411" s="16">
        <f t="shared" si="15"/>
        <v>201000</v>
      </c>
      <c r="P411" s="14" t="s">
        <v>425</v>
      </c>
    </row>
    <row r="412" spans="1:16" x14ac:dyDescent="0.3">
      <c r="A412" s="8" t="s">
        <v>728</v>
      </c>
      <c r="B412" s="9">
        <v>1642111</v>
      </c>
      <c r="C412" s="10" t="s">
        <v>780</v>
      </c>
      <c r="D412" s="11">
        <v>44001</v>
      </c>
      <c r="E412" s="11">
        <v>44005</v>
      </c>
      <c r="F412" s="31">
        <v>44287000</v>
      </c>
      <c r="G412" s="32">
        <v>0</v>
      </c>
      <c r="H412" s="8" t="s">
        <v>781</v>
      </c>
      <c r="I412" s="12">
        <v>1082127888</v>
      </c>
      <c r="J412" s="13" t="s">
        <v>794</v>
      </c>
      <c r="K412" s="14">
        <v>2</v>
      </c>
      <c r="L412" s="15" t="s">
        <v>1288</v>
      </c>
      <c r="M412" s="16">
        <v>201000</v>
      </c>
      <c r="N412" s="16">
        <v>0</v>
      </c>
      <c r="O412" s="16">
        <f t="shared" si="15"/>
        <v>402000</v>
      </c>
      <c r="P412" s="14" t="s">
        <v>425</v>
      </c>
    </row>
    <row r="413" spans="1:16" x14ac:dyDescent="0.3">
      <c r="A413" s="8" t="s">
        <v>728</v>
      </c>
      <c r="B413" s="9">
        <v>1642111</v>
      </c>
      <c r="C413" s="10" t="s">
        <v>780</v>
      </c>
      <c r="D413" s="11">
        <v>44001</v>
      </c>
      <c r="E413" s="11">
        <v>44005</v>
      </c>
      <c r="F413" s="31">
        <v>44287000</v>
      </c>
      <c r="G413" s="32">
        <v>0</v>
      </c>
      <c r="H413" s="8" t="s">
        <v>781</v>
      </c>
      <c r="I413" s="12">
        <v>1082127888</v>
      </c>
      <c r="J413" s="13" t="s">
        <v>795</v>
      </c>
      <c r="K413" s="14">
        <v>2</v>
      </c>
      <c r="L413" s="15" t="s">
        <v>1288</v>
      </c>
      <c r="M413" s="16">
        <v>234500</v>
      </c>
      <c r="N413" s="16">
        <v>0</v>
      </c>
      <c r="O413" s="16">
        <f t="shared" si="15"/>
        <v>469000</v>
      </c>
      <c r="P413" s="14" t="s">
        <v>425</v>
      </c>
    </row>
    <row r="414" spans="1:16" x14ac:dyDescent="0.3">
      <c r="A414" s="8" t="s">
        <v>728</v>
      </c>
      <c r="B414" s="9">
        <v>1642111</v>
      </c>
      <c r="C414" s="10" t="s">
        <v>780</v>
      </c>
      <c r="D414" s="11">
        <v>44001</v>
      </c>
      <c r="E414" s="11">
        <v>44005</v>
      </c>
      <c r="F414" s="31">
        <v>44287000</v>
      </c>
      <c r="G414" s="32">
        <v>0</v>
      </c>
      <c r="H414" s="8" t="s">
        <v>781</v>
      </c>
      <c r="I414" s="12">
        <v>1082127888</v>
      </c>
      <c r="J414" s="13" t="s">
        <v>796</v>
      </c>
      <c r="K414" s="14">
        <v>1</v>
      </c>
      <c r="L414" s="15" t="s">
        <v>1288</v>
      </c>
      <c r="M414" s="16">
        <v>201000</v>
      </c>
      <c r="N414" s="16">
        <v>0</v>
      </c>
      <c r="O414" s="16">
        <f t="shared" si="15"/>
        <v>201000</v>
      </c>
      <c r="P414" s="14" t="s">
        <v>425</v>
      </c>
    </row>
    <row r="415" spans="1:16" x14ac:dyDescent="0.3">
      <c r="A415" s="8" t="s">
        <v>728</v>
      </c>
      <c r="B415" s="9">
        <v>1642111</v>
      </c>
      <c r="C415" s="10" t="s">
        <v>780</v>
      </c>
      <c r="D415" s="11">
        <v>44001</v>
      </c>
      <c r="E415" s="11">
        <v>44005</v>
      </c>
      <c r="F415" s="31">
        <v>44287000</v>
      </c>
      <c r="G415" s="32">
        <v>0</v>
      </c>
      <c r="H415" s="8" t="s">
        <v>781</v>
      </c>
      <c r="I415" s="12">
        <v>1082127888</v>
      </c>
      <c r="J415" s="13" t="s">
        <v>797</v>
      </c>
      <c r="K415" s="14">
        <v>1</v>
      </c>
      <c r="L415" s="15" t="s">
        <v>1288</v>
      </c>
      <c r="M415" s="16">
        <v>268000</v>
      </c>
      <c r="N415" s="16">
        <v>0</v>
      </c>
      <c r="O415" s="16">
        <f t="shared" si="15"/>
        <v>268000</v>
      </c>
      <c r="P415" s="14" t="s">
        <v>425</v>
      </c>
    </row>
    <row r="416" spans="1:16" x14ac:dyDescent="0.3">
      <c r="A416" s="8" t="s">
        <v>728</v>
      </c>
      <c r="B416" s="9">
        <v>1642111</v>
      </c>
      <c r="C416" s="10" t="s">
        <v>780</v>
      </c>
      <c r="D416" s="11">
        <v>44001</v>
      </c>
      <c r="E416" s="11">
        <v>44005</v>
      </c>
      <c r="F416" s="31">
        <v>44287000</v>
      </c>
      <c r="G416" s="32">
        <v>0</v>
      </c>
      <c r="H416" s="8" t="s">
        <v>781</v>
      </c>
      <c r="I416" s="12">
        <v>1082127888</v>
      </c>
      <c r="J416" s="13" t="s">
        <v>798</v>
      </c>
      <c r="K416" s="14">
        <v>1</v>
      </c>
      <c r="L416" s="15" t="s">
        <v>1288</v>
      </c>
      <c r="M416" s="16">
        <v>268000</v>
      </c>
      <c r="N416" s="16">
        <v>0</v>
      </c>
      <c r="O416" s="16">
        <f t="shared" si="15"/>
        <v>268000</v>
      </c>
      <c r="P416" s="14" t="s">
        <v>425</v>
      </c>
    </row>
    <row r="417" spans="1:16" x14ac:dyDescent="0.3">
      <c r="A417" s="8" t="s">
        <v>728</v>
      </c>
      <c r="B417" s="9">
        <v>1642111</v>
      </c>
      <c r="C417" s="10" t="s">
        <v>780</v>
      </c>
      <c r="D417" s="11">
        <v>44001</v>
      </c>
      <c r="E417" s="11">
        <v>44005</v>
      </c>
      <c r="F417" s="31">
        <v>44287000</v>
      </c>
      <c r="G417" s="32">
        <v>0</v>
      </c>
      <c r="H417" s="8" t="s">
        <v>781</v>
      </c>
      <c r="I417" s="12">
        <v>1082127888</v>
      </c>
      <c r="J417" s="13" t="s">
        <v>799</v>
      </c>
      <c r="K417" s="14">
        <v>2</v>
      </c>
      <c r="L417" s="15" t="s">
        <v>1288</v>
      </c>
      <c r="M417" s="16">
        <v>335000</v>
      </c>
      <c r="N417" s="16">
        <v>0</v>
      </c>
      <c r="O417" s="16">
        <f t="shared" si="15"/>
        <v>670000</v>
      </c>
      <c r="P417" s="14" t="s">
        <v>425</v>
      </c>
    </row>
    <row r="418" spans="1:16" x14ac:dyDescent="0.3">
      <c r="A418" s="8" t="s">
        <v>728</v>
      </c>
      <c r="B418" s="9">
        <v>1642111</v>
      </c>
      <c r="C418" s="10" t="s">
        <v>780</v>
      </c>
      <c r="D418" s="11">
        <v>44001</v>
      </c>
      <c r="E418" s="11">
        <v>44005</v>
      </c>
      <c r="F418" s="31">
        <v>44287000</v>
      </c>
      <c r="G418" s="32">
        <v>0</v>
      </c>
      <c r="H418" s="8" t="s">
        <v>781</v>
      </c>
      <c r="I418" s="12">
        <v>1082127888</v>
      </c>
      <c r="J418" s="13" t="s">
        <v>800</v>
      </c>
      <c r="K418" s="14">
        <v>1</v>
      </c>
      <c r="L418" s="15" t="s">
        <v>1288</v>
      </c>
      <c r="M418" s="16">
        <v>201000</v>
      </c>
      <c r="N418" s="16">
        <v>0</v>
      </c>
      <c r="O418" s="16">
        <f t="shared" si="15"/>
        <v>201000</v>
      </c>
      <c r="P418" s="14" t="s">
        <v>425</v>
      </c>
    </row>
    <row r="419" spans="1:16" x14ac:dyDescent="0.3">
      <c r="A419" s="8" t="s">
        <v>728</v>
      </c>
      <c r="B419" s="9">
        <v>1642111</v>
      </c>
      <c r="C419" s="10" t="s">
        <v>780</v>
      </c>
      <c r="D419" s="11">
        <v>44001</v>
      </c>
      <c r="E419" s="11">
        <v>44005</v>
      </c>
      <c r="F419" s="31">
        <v>44287000</v>
      </c>
      <c r="G419" s="32">
        <v>0</v>
      </c>
      <c r="H419" s="8" t="s">
        <v>781</v>
      </c>
      <c r="I419" s="12">
        <v>1082127888</v>
      </c>
      <c r="J419" s="13" t="s">
        <v>801</v>
      </c>
      <c r="K419" s="14">
        <v>2</v>
      </c>
      <c r="L419" s="15" t="s">
        <v>1288</v>
      </c>
      <c r="M419" s="16">
        <v>268000</v>
      </c>
      <c r="N419" s="16">
        <v>0</v>
      </c>
      <c r="O419" s="16">
        <f t="shared" si="15"/>
        <v>536000</v>
      </c>
      <c r="P419" s="14" t="s">
        <v>425</v>
      </c>
    </row>
    <row r="420" spans="1:16" x14ac:dyDescent="0.3">
      <c r="A420" s="8" t="s">
        <v>728</v>
      </c>
      <c r="B420" s="9">
        <v>1642111</v>
      </c>
      <c r="C420" s="10" t="s">
        <v>780</v>
      </c>
      <c r="D420" s="11">
        <v>44001</v>
      </c>
      <c r="E420" s="11">
        <v>44005</v>
      </c>
      <c r="F420" s="31">
        <v>44287000</v>
      </c>
      <c r="G420" s="32">
        <v>0</v>
      </c>
      <c r="H420" s="8" t="s">
        <v>781</v>
      </c>
      <c r="I420" s="12">
        <v>1082127888</v>
      </c>
      <c r="J420" s="13" t="s">
        <v>802</v>
      </c>
      <c r="K420" s="14">
        <v>1</v>
      </c>
      <c r="L420" s="15" t="s">
        <v>1288</v>
      </c>
      <c r="M420" s="16">
        <v>201000</v>
      </c>
      <c r="N420" s="16">
        <v>0</v>
      </c>
      <c r="O420" s="16">
        <f t="shared" si="15"/>
        <v>201000</v>
      </c>
      <c r="P420" s="14" t="s">
        <v>425</v>
      </c>
    </row>
    <row r="421" spans="1:16" x14ac:dyDescent="0.3">
      <c r="A421" s="8" t="s">
        <v>728</v>
      </c>
      <c r="B421" s="9">
        <v>1642111</v>
      </c>
      <c r="C421" s="10" t="s">
        <v>780</v>
      </c>
      <c r="D421" s="11">
        <v>44001</v>
      </c>
      <c r="E421" s="11">
        <v>44005</v>
      </c>
      <c r="F421" s="31">
        <v>44287000</v>
      </c>
      <c r="G421" s="32">
        <v>0</v>
      </c>
      <c r="H421" s="8" t="s">
        <v>781</v>
      </c>
      <c r="I421" s="12">
        <v>1082127888</v>
      </c>
      <c r="J421" s="13" t="s">
        <v>803</v>
      </c>
      <c r="K421" s="14">
        <v>1</v>
      </c>
      <c r="L421" s="15" t="s">
        <v>1288</v>
      </c>
      <c r="M421" s="16">
        <v>167500</v>
      </c>
      <c r="N421" s="16">
        <v>0</v>
      </c>
      <c r="O421" s="16">
        <f t="shared" si="15"/>
        <v>167500</v>
      </c>
      <c r="P421" s="14" t="s">
        <v>425</v>
      </c>
    </row>
    <row r="422" spans="1:16" x14ac:dyDescent="0.3">
      <c r="A422" s="8" t="s">
        <v>728</v>
      </c>
      <c r="B422" s="9">
        <v>1642111</v>
      </c>
      <c r="C422" s="10" t="s">
        <v>780</v>
      </c>
      <c r="D422" s="11">
        <v>44001</v>
      </c>
      <c r="E422" s="11">
        <v>44005</v>
      </c>
      <c r="F422" s="31">
        <v>44287000</v>
      </c>
      <c r="G422" s="32">
        <v>0</v>
      </c>
      <c r="H422" s="8" t="s">
        <v>781</v>
      </c>
      <c r="I422" s="12">
        <v>1082127888</v>
      </c>
      <c r="J422" s="13" t="s">
        <v>804</v>
      </c>
      <c r="K422" s="14">
        <v>1</v>
      </c>
      <c r="L422" s="15" t="s">
        <v>1288</v>
      </c>
      <c r="M422" s="16">
        <v>201000</v>
      </c>
      <c r="N422" s="16">
        <v>0</v>
      </c>
      <c r="O422" s="16">
        <f t="shared" si="15"/>
        <v>201000</v>
      </c>
      <c r="P422" s="14" t="s">
        <v>425</v>
      </c>
    </row>
    <row r="423" spans="1:16" x14ac:dyDescent="0.3">
      <c r="A423" s="8" t="s">
        <v>728</v>
      </c>
      <c r="B423" s="9">
        <v>1642111</v>
      </c>
      <c r="C423" s="10" t="s">
        <v>780</v>
      </c>
      <c r="D423" s="11">
        <v>44001</v>
      </c>
      <c r="E423" s="11">
        <v>44005</v>
      </c>
      <c r="F423" s="31">
        <v>44287000</v>
      </c>
      <c r="G423" s="32">
        <v>0</v>
      </c>
      <c r="H423" s="8" t="s">
        <v>781</v>
      </c>
      <c r="I423" s="12">
        <v>1082127888</v>
      </c>
      <c r="J423" s="13" t="s">
        <v>805</v>
      </c>
      <c r="K423" s="14">
        <v>1</v>
      </c>
      <c r="L423" s="15" t="s">
        <v>1288</v>
      </c>
      <c r="M423" s="16">
        <v>201000</v>
      </c>
      <c r="N423" s="16">
        <v>0</v>
      </c>
      <c r="O423" s="16">
        <f t="shared" si="15"/>
        <v>201000</v>
      </c>
      <c r="P423" s="14" t="s">
        <v>425</v>
      </c>
    </row>
    <row r="424" spans="1:16" x14ac:dyDescent="0.3">
      <c r="A424" s="8" t="s">
        <v>728</v>
      </c>
      <c r="B424" s="9">
        <v>1642111</v>
      </c>
      <c r="C424" s="10" t="s">
        <v>780</v>
      </c>
      <c r="D424" s="11">
        <v>44001</v>
      </c>
      <c r="E424" s="11">
        <v>44005</v>
      </c>
      <c r="F424" s="31">
        <v>44287000</v>
      </c>
      <c r="G424" s="32">
        <v>0</v>
      </c>
      <c r="H424" s="8" t="s">
        <v>781</v>
      </c>
      <c r="I424" s="12">
        <v>1082127888</v>
      </c>
      <c r="J424" s="13" t="s">
        <v>806</v>
      </c>
      <c r="K424" s="14">
        <v>3</v>
      </c>
      <c r="L424" s="15" t="s">
        <v>1288</v>
      </c>
      <c r="M424" s="16">
        <v>670000</v>
      </c>
      <c r="N424" s="16">
        <v>0</v>
      </c>
      <c r="O424" s="16">
        <f t="shared" si="15"/>
        <v>2010000</v>
      </c>
      <c r="P424" s="14" t="s">
        <v>425</v>
      </c>
    </row>
    <row r="425" spans="1:16" x14ac:dyDescent="0.3">
      <c r="A425" s="8" t="s">
        <v>728</v>
      </c>
      <c r="B425" s="9">
        <v>1642111</v>
      </c>
      <c r="C425" s="10" t="s">
        <v>780</v>
      </c>
      <c r="D425" s="11">
        <v>44001</v>
      </c>
      <c r="E425" s="11">
        <v>44005</v>
      </c>
      <c r="F425" s="31">
        <v>44287000</v>
      </c>
      <c r="G425" s="32">
        <v>0</v>
      </c>
      <c r="H425" s="8" t="s">
        <v>781</v>
      </c>
      <c r="I425" s="12">
        <v>1082127888</v>
      </c>
      <c r="J425" s="13" t="s">
        <v>807</v>
      </c>
      <c r="K425" s="14">
        <v>1</v>
      </c>
      <c r="L425" s="15" t="s">
        <v>1288</v>
      </c>
      <c r="M425" s="16">
        <v>234500</v>
      </c>
      <c r="N425" s="16">
        <v>0</v>
      </c>
      <c r="O425" s="16">
        <f t="shared" si="15"/>
        <v>234500</v>
      </c>
      <c r="P425" s="14" t="s">
        <v>425</v>
      </c>
    </row>
    <row r="426" spans="1:16" x14ac:dyDescent="0.3">
      <c r="A426" s="8" t="s">
        <v>728</v>
      </c>
      <c r="B426" s="9">
        <v>1642111</v>
      </c>
      <c r="C426" s="10" t="s">
        <v>780</v>
      </c>
      <c r="D426" s="11">
        <v>44001</v>
      </c>
      <c r="E426" s="11">
        <v>44005</v>
      </c>
      <c r="F426" s="31">
        <v>44287000</v>
      </c>
      <c r="G426" s="32">
        <v>0</v>
      </c>
      <c r="H426" s="8" t="s">
        <v>781</v>
      </c>
      <c r="I426" s="12">
        <v>1082127888</v>
      </c>
      <c r="J426" s="13" t="s">
        <v>808</v>
      </c>
      <c r="K426" s="14">
        <v>1</v>
      </c>
      <c r="L426" s="15" t="s">
        <v>1288</v>
      </c>
      <c r="M426" s="16">
        <v>234500</v>
      </c>
      <c r="N426" s="16">
        <v>0</v>
      </c>
      <c r="O426" s="16">
        <f t="shared" si="15"/>
        <v>234500</v>
      </c>
      <c r="P426" s="14" t="s">
        <v>425</v>
      </c>
    </row>
    <row r="427" spans="1:16" x14ac:dyDescent="0.3">
      <c r="A427" s="8" t="s">
        <v>728</v>
      </c>
      <c r="B427" s="9">
        <v>1642111</v>
      </c>
      <c r="C427" s="10" t="s">
        <v>780</v>
      </c>
      <c r="D427" s="11">
        <v>44001</v>
      </c>
      <c r="E427" s="11">
        <v>44005</v>
      </c>
      <c r="F427" s="31">
        <v>44287000</v>
      </c>
      <c r="G427" s="32">
        <v>0</v>
      </c>
      <c r="H427" s="8" t="s">
        <v>781</v>
      </c>
      <c r="I427" s="12">
        <v>1082127888</v>
      </c>
      <c r="J427" s="13" t="s">
        <v>809</v>
      </c>
      <c r="K427" s="14">
        <v>2</v>
      </c>
      <c r="L427" s="15" t="s">
        <v>1288</v>
      </c>
      <c r="M427" s="16">
        <v>234500</v>
      </c>
      <c r="N427" s="16">
        <v>0</v>
      </c>
      <c r="O427" s="16">
        <f t="shared" si="15"/>
        <v>469000</v>
      </c>
      <c r="P427" s="14" t="s">
        <v>425</v>
      </c>
    </row>
    <row r="428" spans="1:16" x14ac:dyDescent="0.3">
      <c r="A428" s="8" t="s">
        <v>728</v>
      </c>
      <c r="B428" s="9">
        <v>1642111</v>
      </c>
      <c r="C428" s="10" t="s">
        <v>780</v>
      </c>
      <c r="D428" s="11">
        <v>44001</v>
      </c>
      <c r="E428" s="11">
        <v>44005</v>
      </c>
      <c r="F428" s="31">
        <v>44287000</v>
      </c>
      <c r="G428" s="32">
        <v>0</v>
      </c>
      <c r="H428" s="8" t="s">
        <v>781</v>
      </c>
      <c r="I428" s="12">
        <v>1082127888</v>
      </c>
      <c r="J428" s="13" t="s">
        <v>809</v>
      </c>
      <c r="K428" s="14">
        <v>1</v>
      </c>
      <c r="L428" s="15" t="s">
        <v>1288</v>
      </c>
      <c r="M428" s="16">
        <v>234500</v>
      </c>
      <c r="N428" s="16">
        <v>0</v>
      </c>
      <c r="O428" s="16">
        <f t="shared" si="15"/>
        <v>234500</v>
      </c>
      <c r="P428" s="14" t="s">
        <v>425</v>
      </c>
    </row>
    <row r="429" spans="1:16" x14ac:dyDescent="0.3">
      <c r="A429" s="8" t="s">
        <v>728</v>
      </c>
      <c r="B429" s="9">
        <v>1642111</v>
      </c>
      <c r="C429" s="10" t="s">
        <v>780</v>
      </c>
      <c r="D429" s="11">
        <v>44001</v>
      </c>
      <c r="E429" s="11">
        <v>44005</v>
      </c>
      <c r="F429" s="31">
        <v>44287000</v>
      </c>
      <c r="G429" s="32">
        <v>0</v>
      </c>
      <c r="H429" s="8" t="s">
        <v>781</v>
      </c>
      <c r="I429" s="12">
        <v>1082127888</v>
      </c>
      <c r="J429" s="13" t="s">
        <v>810</v>
      </c>
      <c r="K429" s="14">
        <v>1</v>
      </c>
      <c r="L429" s="15" t="s">
        <v>1288</v>
      </c>
      <c r="M429" s="16">
        <v>234500</v>
      </c>
      <c r="N429" s="16">
        <v>0</v>
      </c>
      <c r="O429" s="16">
        <f t="shared" si="15"/>
        <v>234500</v>
      </c>
      <c r="P429" s="14" t="s">
        <v>425</v>
      </c>
    </row>
    <row r="430" spans="1:16" x14ac:dyDescent="0.3">
      <c r="A430" s="8" t="s">
        <v>728</v>
      </c>
      <c r="B430" s="9">
        <v>1642111</v>
      </c>
      <c r="C430" s="10" t="s">
        <v>780</v>
      </c>
      <c r="D430" s="11">
        <v>44001</v>
      </c>
      <c r="E430" s="11">
        <v>44005</v>
      </c>
      <c r="F430" s="31">
        <v>44287000</v>
      </c>
      <c r="G430" s="32">
        <v>0</v>
      </c>
      <c r="H430" s="8" t="s">
        <v>781</v>
      </c>
      <c r="I430" s="12">
        <v>1082127888</v>
      </c>
      <c r="J430" s="13" t="s">
        <v>811</v>
      </c>
      <c r="K430" s="14">
        <v>1</v>
      </c>
      <c r="L430" s="15" t="s">
        <v>1288</v>
      </c>
      <c r="M430" s="16">
        <v>234500</v>
      </c>
      <c r="N430" s="16">
        <v>0</v>
      </c>
      <c r="O430" s="16">
        <f t="shared" si="15"/>
        <v>234500</v>
      </c>
      <c r="P430" s="14" t="s">
        <v>425</v>
      </c>
    </row>
    <row r="431" spans="1:16" x14ac:dyDescent="0.3">
      <c r="A431" s="8" t="s">
        <v>728</v>
      </c>
      <c r="B431" s="9">
        <v>1642111</v>
      </c>
      <c r="C431" s="10" t="s">
        <v>780</v>
      </c>
      <c r="D431" s="11">
        <v>44001</v>
      </c>
      <c r="E431" s="11">
        <v>44005</v>
      </c>
      <c r="F431" s="31">
        <v>44287000</v>
      </c>
      <c r="G431" s="32">
        <v>0</v>
      </c>
      <c r="H431" s="8" t="s">
        <v>781</v>
      </c>
      <c r="I431" s="12">
        <v>1082127888</v>
      </c>
      <c r="J431" s="13" t="s">
        <v>812</v>
      </c>
      <c r="K431" s="14">
        <v>1</v>
      </c>
      <c r="L431" s="15" t="s">
        <v>1288</v>
      </c>
      <c r="M431" s="16">
        <v>234500</v>
      </c>
      <c r="N431" s="16">
        <v>0</v>
      </c>
      <c r="O431" s="16">
        <f t="shared" si="15"/>
        <v>234500</v>
      </c>
      <c r="P431" s="14" t="s">
        <v>425</v>
      </c>
    </row>
    <row r="432" spans="1:16" x14ac:dyDescent="0.3">
      <c r="A432" s="8" t="s">
        <v>728</v>
      </c>
      <c r="B432" s="9">
        <v>1642111</v>
      </c>
      <c r="C432" s="10" t="s">
        <v>780</v>
      </c>
      <c r="D432" s="11">
        <v>44001</v>
      </c>
      <c r="E432" s="11">
        <v>44005</v>
      </c>
      <c r="F432" s="31">
        <v>44287000</v>
      </c>
      <c r="G432" s="32">
        <v>0</v>
      </c>
      <c r="H432" s="8" t="s">
        <v>781</v>
      </c>
      <c r="I432" s="12">
        <v>1082127888</v>
      </c>
      <c r="J432" s="13" t="s">
        <v>813</v>
      </c>
      <c r="K432" s="14">
        <v>1</v>
      </c>
      <c r="L432" s="15" t="s">
        <v>1288</v>
      </c>
      <c r="M432" s="16">
        <v>234500</v>
      </c>
      <c r="N432" s="16">
        <v>0</v>
      </c>
      <c r="O432" s="16">
        <f t="shared" si="15"/>
        <v>234500</v>
      </c>
      <c r="P432" s="14" t="s">
        <v>425</v>
      </c>
    </row>
    <row r="433" spans="1:16" x14ac:dyDescent="0.3">
      <c r="A433" s="8" t="s">
        <v>728</v>
      </c>
      <c r="B433" s="9">
        <v>1642111</v>
      </c>
      <c r="C433" s="10" t="s">
        <v>780</v>
      </c>
      <c r="D433" s="11">
        <v>44001</v>
      </c>
      <c r="E433" s="11">
        <v>44005</v>
      </c>
      <c r="F433" s="31">
        <v>44287000</v>
      </c>
      <c r="G433" s="32">
        <v>0</v>
      </c>
      <c r="H433" s="8" t="s">
        <v>781</v>
      </c>
      <c r="I433" s="12">
        <v>1082127888</v>
      </c>
      <c r="J433" s="13" t="s">
        <v>814</v>
      </c>
      <c r="K433" s="14">
        <v>1</v>
      </c>
      <c r="L433" s="15" t="s">
        <v>1288</v>
      </c>
      <c r="M433" s="16">
        <v>234500</v>
      </c>
      <c r="N433" s="16">
        <v>0</v>
      </c>
      <c r="O433" s="16">
        <f t="shared" si="15"/>
        <v>234500</v>
      </c>
      <c r="P433" s="14" t="s">
        <v>425</v>
      </c>
    </row>
    <row r="434" spans="1:16" x14ac:dyDescent="0.3">
      <c r="A434" s="8" t="s">
        <v>728</v>
      </c>
      <c r="B434" s="9">
        <v>1642111</v>
      </c>
      <c r="C434" s="10" t="s">
        <v>780</v>
      </c>
      <c r="D434" s="11">
        <v>44001</v>
      </c>
      <c r="E434" s="11">
        <v>44005</v>
      </c>
      <c r="F434" s="31">
        <v>44287000</v>
      </c>
      <c r="G434" s="32">
        <v>0</v>
      </c>
      <c r="H434" s="8" t="s">
        <v>781</v>
      </c>
      <c r="I434" s="12">
        <v>1082127888</v>
      </c>
      <c r="J434" s="13" t="s">
        <v>815</v>
      </c>
      <c r="K434" s="14">
        <v>1</v>
      </c>
      <c r="L434" s="15" t="s">
        <v>1288</v>
      </c>
      <c r="M434" s="16">
        <v>234500</v>
      </c>
      <c r="N434" s="16">
        <v>0</v>
      </c>
      <c r="O434" s="16">
        <f t="shared" si="15"/>
        <v>234500</v>
      </c>
      <c r="P434" s="14" t="s">
        <v>425</v>
      </c>
    </row>
    <row r="435" spans="1:16" x14ac:dyDescent="0.3">
      <c r="A435" s="8" t="s">
        <v>728</v>
      </c>
      <c r="B435" s="9">
        <v>1642111</v>
      </c>
      <c r="C435" s="10" t="s">
        <v>780</v>
      </c>
      <c r="D435" s="11">
        <v>44001</v>
      </c>
      <c r="E435" s="11">
        <v>44005</v>
      </c>
      <c r="F435" s="31">
        <v>44287000</v>
      </c>
      <c r="G435" s="32">
        <v>0</v>
      </c>
      <c r="H435" s="8" t="s">
        <v>781</v>
      </c>
      <c r="I435" s="12">
        <v>1082127888</v>
      </c>
      <c r="J435" s="13" t="s">
        <v>816</v>
      </c>
      <c r="K435" s="14">
        <v>1</v>
      </c>
      <c r="L435" s="15" t="s">
        <v>1288</v>
      </c>
      <c r="M435" s="16">
        <v>234500</v>
      </c>
      <c r="N435" s="16">
        <v>0</v>
      </c>
      <c r="O435" s="16">
        <f t="shared" si="15"/>
        <v>234500</v>
      </c>
      <c r="P435" s="14" t="s">
        <v>425</v>
      </c>
    </row>
    <row r="436" spans="1:16" x14ac:dyDescent="0.3">
      <c r="A436" s="8" t="s">
        <v>728</v>
      </c>
      <c r="B436" s="9">
        <v>1642111</v>
      </c>
      <c r="C436" s="10" t="s">
        <v>780</v>
      </c>
      <c r="D436" s="11">
        <v>44001</v>
      </c>
      <c r="E436" s="11">
        <v>44005</v>
      </c>
      <c r="F436" s="31">
        <v>44287000</v>
      </c>
      <c r="G436" s="32">
        <v>0</v>
      </c>
      <c r="H436" s="8" t="s">
        <v>781</v>
      </c>
      <c r="I436" s="12">
        <v>1082127888</v>
      </c>
      <c r="J436" s="13" t="s">
        <v>817</v>
      </c>
      <c r="K436" s="14">
        <v>1</v>
      </c>
      <c r="L436" s="15" t="s">
        <v>1288</v>
      </c>
      <c r="M436" s="16">
        <v>234500</v>
      </c>
      <c r="N436" s="16">
        <v>0</v>
      </c>
      <c r="O436" s="16">
        <f t="shared" si="15"/>
        <v>234500</v>
      </c>
      <c r="P436" s="14" t="s">
        <v>425</v>
      </c>
    </row>
    <row r="437" spans="1:16" x14ac:dyDescent="0.3">
      <c r="A437" s="8" t="s">
        <v>728</v>
      </c>
      <c r="B437" s="9">
        <v>1642111</v>
      </c>
      <c r="C437" s="10" t="s">
        <v>780</v>
      </c>
      <c r="D437" s="11">
        <v>44001</v>
      </c>
      <c r="E437" s="11">
        <v>44005</v>
      </c>
      <c r="F437" s="31">
        <v>44287000</v>
      </c>
      <c r="G437" s="32">
        <v>0</v>
      </c>
      <c r="H437" s="8" t="s">
        <v>781</v>
      </c>
      <c r="I437" s="12">
        <v>1082127888</v>
      </c>
      <c r="J437" s="13" t="s">
        <v>818</v>
      </c>
      <c r="K437" s="14">
        <v>1</v>
      </c>
      <c r="L437" s="15" t="s">
        <v>1288</v>
      </c>
      <c r="M437" s="16">
        <v>234500</v>
      </c>
      <c r="N437" s="16">
        <v>0</v>
      </c>
      <c r="O437" s="16">
        <f t="shared" si="15"/>
        <v>234500</v>
      </c>
      <c r="P437" s="14" t="s">
        <v>425</v>
      </c>
    </row>
    <row r="438" spans="1:16" x14ac:dyDescent="0.3">
      <c r="A438" s="8" t="s">
        <v>728</v>
      </c>
      <c r="B438" s="9">
        <v>1642111</v>
      </c>
      <c r="C438" s="10" t="s">
        <v>780</v>
      </c>
      <c r="D438" s="11">
        <v>44001</v>
      </c>
      <c r="E438" s="11">
        <v>44005</v>
      </c>
      <c r="F438" s="31">
        <v>44287000</v>
      </c>
      <c r="G438" s="32">
        <v>0</v>
      </c>
      <c r="H438" s="8" t="s">
        <v>781</v>
      </c>
      <c r="I438" s="12">
        <v>1082127888</v>
      </c>
      <c r="J438" s="13" t="s">
        <v>819</v>
      </c>
      <c r="K438" s="14">
        <v>2</v>
      </c>
      <c r="L438" s="15" t="s">
        <v>1288</v>
      </c>
      <c r="M438" s="16">
        <v>301500</v>
      </c>
      <c r="N438" s="16">
        <v>0</v>
      </c>
      <c r="O438" s="16">
        <f t="shared" si="15"/>
        <v>603000</v>
      </c>
      <c r="P438" s="14" t="s">
        <v>425</v>
      </c>
    </row>
    <row r="439" spans="1:16" x14ac:dyDescent="0.3">
      <c r="A439" s="8" t="s">
        <v>728</v>
      </c>
      <c r="B439" s="9">
        <v>1642111</v>
      </c>
      <c r="C439" s="10" t="s">
        <v>780</v>
      </c>
      <c r="D439" s="11">
        <v>44001</v>
      </c>
      <c r="E439" s="11">
        <v>44005</v>
      </c>
      <c r="F439" s="31">
        <v>44287000</v>
      </c>
      <c r="G439" s="32">
        <v>0</v>
      </c>
      <c r="H439" s="8" t="s">
        <v>781</v>
      </c>
      <c r="I439" s="12">
        <v>1082127888</v>
      </c>
      <c r="J439" s="13" t="s">
        <v>820</v>
      </c>
      <c r="K439" s="14">
        <v>1</v>
      </c>
      <c r="L439" s="15" t="s">
        <v>1288</v>
      </c>
      <c r="M439" s="16">
        <v>234500</v>
      </c>
      <c r="N439" s="16">
        <v>0</v>
      </c>
      <c r="O439" s="16">
        <f t="shared" si="15"/>
        <v>234500</v>
      </c>
      <c r="P439" s="14" t="s">
        <v>425</v>
      </c>
    </row>
    <row r="440" spans="1:16" x14ac:dyDescent="0.3">
      <c r="A440" s="8" t="s">
        <v>728</v>
      </c>
      <c r="B440" s="9">
        <v>1642111</v>
      </c>
      <c r="C440" s="10" t="s">
        <v>780</v>
      </c>
      <c r="D440" s="11">
        <v>44001</v>
      </c>
      <c r="E440" s="11">
        <v>44005</v>
      </c>
      <c r="F440" s="31">
        <v>44287000</v>
      </c>
      <c r="G440" s="32">
        <v>0</v>
      </c>
      <c r="H440" s="8" t="s">
        <v>781</v>
      </c>
      <c r="I440" s="12">
        <v>1082127888</v>
      </c>
      <c r="J440" s="13" t="s">
        <v>821</v>
      </c>
      <c r="K440" s="14">
        <v>1</v>
      </c>
      <c r="L440" s="15" t="s">
        <v>1288</v>
      </c>
      <c r="M440" s="16">
        <v>234500</v>
      </c>
      <c r="N440" s="16">
        <v>0</v>
      </c>
      <c r="O440" s="16">
        <f t="shared" si="15"/>
        <v>234500</v>
      </c>
      <c r="P440" s="14" t="s">
        <v>425</v>
      </c>
    </row>
    <row r="441" spans="1:16" x14ac:dyDescent="0.3">
      <c r="A441" s="8" t="s">
        <v>728</v>
      </c>
      <c r="B441" s="9">
        <v>1642111</v>
      </c>
      <c r="C441" s="10" t="s">
        <v>780</v>
      </c>
      <c r="D441" s="11">
        <v>44001</v>
      </c>
      <c r="E441" s="11">
        <v>44005</v>
      </c>
      <c r="F441" s="31">
        <v>44287000</v>
      </c>
      <c r="G441" s="32">
        <v>0</v>
      </c>
      <c r="H441" s="8" t="s">
        <v>781</v>
      </c>
      <c r="I441" s="12">
        <v>1082127888</v>
      </c>
      <c r="J441" s="13" t="s">
        <v>822</v>
      </c>
      <c r="K441" s="14">
        <v>1</v>
      </c>
      <c r="L441" s="15" t="s">
        <v>1288</v>
      </c>
      <c r="M441" s="16">
        <v>234500</v>
      </c>
      <c r="N441" s="16">
        <v>0</v>
      </c>
      <c r="O441" s="16">
        <f t="shared" si="15"/>
        <v>234500</v>
      </c>
      <c r="P441" s="14" t="s">
        <v>425</v>
      </c>
    </row>
    <row r="442" spans="1:16" x14ac:dyDescent="0.3">
      <c r="A442" s="8" t="s">
        <v>728</v>
      </c>
      <c r="B442" s="9">
        <v>1642111</v>
      </c>
      <c r="C442" s="10" t="s">
        <v>780</v>
      </c>
      <c r="D442" s="11">
        <v>44001</v>
      </c>
      <c r="E442" s="11">
        <v>44005</v>
      </c>
      <c r="F442" s="31">
        <v>44287000</v>
      </c>
      <c r="G442" s="32">
        <v>0</v>
      </c>
      <c r="H442" s="8" t="s">
        <v>781</v>
      </c>
      <c r="I442" s="12">
        <v>1082127888</v>
      </c>
      <c r="J442" s="13" t="s">
        <v>823</v>
      </c>
      <c r="K442" s="14">
        <v>2</v>
      </c>
      <c r="L442" s="15" t="s">
        <v>1288</v>
      </c>
      <c r="M442" s="16">
        <v>569500</v>
      </c>
      <c r="N442" s="16">
        <v>0</v>
      </c>
      <c r="O442" s="16">
        <f t="shared" si="15"/>
        <v>1139000</v>
      </c>
      <c r="P442" s="14" t="s">
        <v>425</v>
      </c>
    </row>
    <row r="443" spans="1:16" x14ac:dyDescent="0.3">
      <c r="A443" s="8" t="s">
        <v>728</v>
      </c>
      <c r="B443" s="9">
        <v>1642111</v>
      </c>
      <c r="C443" s="10" t="s">
        <v>780</v>
      </c>
      <c r="D443" s="11">
        <v>44001</v>
      </c>
      <c r="E443" s="11">
        <v>44005</v>
      </c>
      <c r="F443" s="31">
        <v>44287000</v>
      </c>
      <c r="G443" s="32">
        <v>0</v>
      </c>
      <c r="H443" s="8" t="s">
        <v>781</v>
      </c>
      <c r="I443" s="12">
        <v>1082127888</v>
      </c>
      <c r="J443" s="13" t="s">
        <v>824</v>
      </c>
      <c r="K443" s="14">
        <v>1</v>
      </c>
      <c r="L443" s="15" t="s">
        <v>1288</v>
      </c>
      <c r="M443" s="16">
        <v>301500</v>
      </c>
      <c r="N443" s="16">
        <v>0</v>
      </c>
      <c r="O443" s="16">
        <f t="shared" si="15"/>
        <v>301500</v>
      </c>
      <c r="P443" s="14" t="s">
        <v>425</v>
      </c>
    </row>
    <row r="444" spans="1:16" x14ac:dyDescent="0.3">
      <c r="A444" s="8" t="s">
        <v>728</v>
      </c>
      <c r="B444" s="9">
        <v>1642111</v>
      </c>
      <c r="C444" s="10" t="s">
        <v>780</v>
      </c>
      <c r="D444" s="11">
        <v>44001</v>
      </c>
      <c r="E444" s="11">
        <v>44005</v>
      </c>
      <c r="F444" s="31">
        <v>44287000</v>
      </c>
      <c r="G444" s="32">
        <v>0</v>
      </c>
      <c r="H444" s="8" t="s">
        <v>781</v>
      </c>
      <c r="I444" s="12">
        <v>1082127888</v>
      </c>
      <c r="J444" s="13" t="s">
        <v>825</v>
      </c>
      <c r="K444" s="14">
        <v>1</v>
      </c>
      <c r="L444" s="15" t="s">
        <v>1288</v>
      </c>
      <c r="M444" s="16">
        <v>301500</v>
      </c>
      <c r="N444" s="16">
        <v>0</v>
      </c>
      <c r="O444" s="16">
        <f t="shared" si="15"/>
        <v>301500</v>
      </c>
      <c r="P444" s="14" t="s">
        <v>425</v>
      </c>
    </row>
    <row r="445" spans="1:16" x14ac:dyDescent="0.3">
      <c r="A445" s="8" t="s">
        <v>728</v>
      </c>
      <c r="B445" s="9">
        <v>1642111</v>
      </c>
      <c r="C445" s="10" t="s">
        <v>780</v>
      </c>
      <c r="D445" s="11">
        <v>44001</v>
      </c>
      <c r="E445" s="11">
        <v>44005</v>
      </c>
      <c r="F445" s="31">
        <v>44287000</v>
      </c>
      <c r="G445" s="32">
        <v>0</v>
      </c>
      <c r="H445" s="8" t="s">
        <v>781</v>
      </c>
      <c r="I445" s="12">
        <v>1082127888</v>
      </c>
      <c r="J445" s="13" t="s">
        <v>826</v>
      </c>
      <c r="K445" s="14">
        <v>2</v>
      </c>
      <c r="L445" s="15" t="s">
        <v>1288</v>
      </c>
      <c r="M445" s="16">
        <v>234500</v>
      </c>
      <c r="N445" s="16">
        <v>0</v>
      </c>
      <c r="O445" s="16">
        <f t="shared" si="15"/>
        <v>469000</v>
      </c>
      <c r="P445" s="14" t="s">
        <v>425</v>
      </c>
    </row>
    <row r="446" spans="1:16" x14ac:dyDescent="0.3">
      <c r="A446" s="8" t="s">
        <v>728</v>
      </c>
      <c r="B446" s="9">
        <v>1642111</v>
      </c>
      <c r="C446" s="10" t="s">
        <v>780</v>
      </c>
      <c r="D446" s="11">
        <v>44001</v>
      </c>
      <c r="E446" s="11">
        <v>44005</v>
      </c>
      <c r="F446" s="31">
        <v>44287000</v>
      </c>
      <c r="G446" s="32">
        <v>0</v>
      </c>
      <c r="H446" s="8" t="s">
        <v>781</v>
      </c>
      <c r="I446" s="12">
        <v>1082127888</v>
      </c>
      <c r="J446" s="13" t="s">
        <v>827</v>
      </c>
      <c r="K446" s="14">
        <v>2</v>
      </c>
      <c r="L446" s="15" t="s">
        <v>1288</v>
      </c>
      <c r="M446" s="16">
        <v>167500</v>
      </c>
      <c r="N446" s="16">
        <v>0</v>
      </c>
      <c r="O446" s="16">
        <f t="shared" si="15"/>
        <v>335000</v>
      </c>
      <c r="P446" s="14" t="s">
        <v>425</v>
      </c>
    </row>
    <row r="447" spans="1:16" x14ac:dyDescent="0.3">
      <c r="A447" s="8" t="s">
        <v>728</v>
      </c>
      <c r="B447" s="9">
        <v>1642111</v>
      </c>
      <c r="C447" s="10" t="s">
        <v>780</v>
      </c>
      <c r="D447" s="11">
        <v>44001</v>
      </c>
      <c r="E447" s="11">
        <v>44005</v>
      </c>
      <c r="F447" s="31">
        <v>44287000</v>
      </c>
      <c r="G447" s="32">
        <v>0</v>
      </c>
      <c r="H447" s="8" t="s">
        <v>781</v>
      </c>
      <c r="I447" s="12">
        <v>1082127888</v>
      </c>
      <c r="J447" s="13" t="s">
        <v>828</v>
      </c>
      <c r="K447" s="14">
        <v>1</v>
      </c>
      <c r="L447" s="15" t="s">
        <v>1288</v>
      </c>
      <c r="M447" s="16">
        <v>234500</v>
      </c>
      <c r="N447" s="16">
        <v>0</v>
      </c>
      <c r="O447" s="16">
        <f t="shared" ref="O447:O510" si="16">K447*(M447+N447)</f>
        <v>234500</v>
      </c>
      <c r="P447" s="14" t="s">
        <v>425</v>
      </c>
    </row>
    <row r="448" spans="1:16" x14ac:dyDescent="0.3">
      <c r="A448" s="8" t="s">
        <v>728</v>
      </c>
      <c r="B448" s="9">
        <v>1642111</v>
      </c>
      <c r="C448" s="10" t="s">
        <v>780</v>
      </c>
      <c r="D448" s="11">
        <v>44001</v>
      </c>
      <c r="E448" s="11">
        <v>44005</v>
      </c>
      <c r="F448" s="31">
        <v>44287000</v>
      </c>
      <c r="G448" s="32">
        <v>0</v>
      </c>
      <c r="H448" s="8" t="s">
        <v>781</v>
      </c>
      <c r="I448" s="12">
        <v>1082127888</v>
      </c>
      <c r="J448" s="13" t="s">
        <v>829</v>
      </c>
      <c r="K448" s="14">
        <v>1</v>
      </c>
      <c r="L448" s="15" t="s">
        <v>1288</v>
      </c>
      <c r="M448" s="16">
        <v>234500</v>
      </c>
      <c r="N448" s="16">
        <v>0</v>
      </c>
      <c r="O448" s="16">
        <f t="shared" si="16"/>
        <v>234500</v>
      </c>
      <c r="P448" s="14" t="s">
        <v>425</v>
      </c>
    </row>
    <row r="449" spans="1:16" x14ac:dyDescent="0.3">
      <c r="A449" s="8" t="s">
        <v>728</v>
      </c>
      <c r="B449" s="9">
        <v>1642111</v>
      </c>
      <c r="C449" s="10" t="s">
        <v>780</v>
      </c>
      <c r="D449" s="11">
        <v>44001</v>
      </c>
      <c r="E449" s="11">
        <v>44005</v>
      </c>
      <c r="F449" s="31">
        <v>44287000</v>
      </c>
      <c r="G449" s="32">
        <v>0</v>
      </c>
      <c r="H449" s="8" t="s">
        <v>781</v>
      </c>
      <c r="I449" s="12">
        <v>1082127888</v>
      </c>
      <c r="J449" s="13" t="s">
        <v>830</v>
      </c>
      <c r="K449" s="14">
        <v>1</v>
      </c>
      <c r="L449" s="15" t="s">
        <v>1288</v>
      </c>
      <c r="M449" s="16">
        <v>234500</v>
      </c>
      <c r="N449" s="16">
        <v>0</v>
      </c>
      <c r="O449" s="16">
        <f t="shared" si="16"/>
        <v>234500</v>
      </c>
      <c r="P449" s="14" t="s">
        <v>425</v>
      </c>
    </row>
    <row r="450" spans="1:16" x14ac:dyDescent="0.3">
      <c r="A450" s="8" t="s">
        <v>728</v>
      </c>
      <c r="B450" s="9">
        <v>1642111</v>
      </c>
      <c r="C450" s="10" t="s">
        <v>780</v>
      </c>
      <c r="D450" s="11">
        <v>44001</v>
      </c>
      <c r="E450" s="11">
        <v>44005</v>
      </c>
      <c r="F450" s="31">
        <v>44287000</v>
      </c>
      <c r="G450" s="32">
        <v>0</v>
      </c>
      <c r="H450" s="8" t="s">
        <v>781</v>
      </c>
      <c r="I450" s="12">
        <v>1082127888</v>
      </c>
      <c r="J450" s="13" t="s">
        <v>831</v>
      </c>
      <c r="K450" s="14">
        <v>1</v>
      </c>
      <c r="L450" s="15" t="s">
        <v>1288</v>
      </c>
      <c r="M450" s="16">
        <v>234500</v>
      </c>
      <c r="N450" s="16">
        <v>0</v>
      </c>
      <c r="O450" s="16">
        <f t="shared" si="16"/>
        <v>234500</v>
      </c>
      <c r="P450" s="14" t="s">
        <v>425</v>
      </c>
    </row>
    <row r="451" spans="1:16" x14ac:dyDescent="0.3">
      <c r="A451" s="8" t="s">
        <v>728</v>
      </c>
      <c r="B451" s="9">
        <v>1642111</v>
      </c>
      <c r="C451" s="10" t="s">
        <v>780</v>
      </c>
      <c r="D451" s="11">
        <v>44001</v>
      </c>
      <c r="E451" s="11">
        <v>44005</v>
      </c>
      <c r="F451" s="31">
        <v>44287000</v>
      </c>
      <c r="G451" s="32">
        <v>0</v>
      </c>
      <c r="H451" s="8" t="s">
        <v>781</v>
      </c>
      <c r="I451" s="12">
        <v>1082127888</v>
      </c>
      <c r="J451" s="13" t="s">
        <v>832</v>
      </c>
      <c r="K451" s="14">
        <v>1</v>
      </c>
      <c r="L451" s="15" t="s">
        <v>1288</v>
      </c>
      <c r="M451" s="16">
        <v>234500</v>
      </c>
      <c r="N451" s="16">
        <v>0</v>
      </c>
      <c r="O451" s="16">
        <f t="shared" si="16"/>
        <v>234500</v>
      </c>
      <c r="P451" s="14" t="s">
        <v>425</v>
      </c>
    </row>
    <row r="452" spans="1:16" x14ac:dyDescent="0.3">
      <c r="A452" s="8" t="s">
        <v>728</v>
      </c>
      <c r="B452" s="9">
        <v>1642111</v>
      </c>
      <c r="C452" s="10" t="s">
        <v>780</v>
      </c>
      <c r="D452" s="11">
        <v>44001</v>
      </c>
      <c r="E452" s="11">
        <v>44005</v>
      </c>
      <c r="F452" s="31">
        <v>44287000</v>
      </c>
      <c r="G452" s="32">
        <v>0</v>
      </c>
      <c r="H452" s="8" t="s">
        <v>781</v>
      </c>
      <c r="I452" s="12">
        <v>1082127888</v>
      </c>
      <c r="J452" s="13" t="s">
        <v>833</v>
      </c>
      <c r="K452" s="14">
        <v>2</v>
      </c>
      <c r="L452" s="15" t="s">
        <v>1288</v>
      </c>
      <c r="M452" s="16">
        <v>234500</v>
      </c>
      <c r="N452" s="16">
        <v>0</v>
      </c>
      <c r="O452" s="16">
        <f t="shared" si="16"/>
        <v>469000</v>
      </c>
      <c r="P452" s="14" t="s">
        <v>425</v>
      </c>
    </row>
    <row r="453" spans="1:16" x14ac:dyDescent="0.3">
      <c r="A453" s="8" t="s">
        <v>728</v>
      </c>
      <c r="B453" s="9">
        <v>1642111</v>
      </c>
      <c r="C453" s="10" t="s">
        <v>780</v>
      </c>
      <c r="D453" s="11">
        <v>44001</v>
      </c>
      <c r="E453" s="11">
        <v>44005</v>
      </c>
      <c r="F453" s="31">
        <v>44287000</v>
      </c>
      <c r="G453" s="32">
        <v>0</v>
      </c>
      <c r="H453" s="8" t="s">
        <v>781</v>
      </c>
      <c r="I453" s="12">
        <v>1082127888</v>
      </c>
      <c r="J453" s="13" t="s">
        <v>834</v>
      </c>
      <c r="K453" s="14">
        <v>2</v>
      </c>
      <c r="L453" s="15" t="s">
        <v>1288</v>
      </c>
      <c r="M453" s="16">
        <v>201000</v>
      </c>
      <c r="N453" s="16">
        <v>0</v>
      </c>
      <c r="O453" s="16">
        <f t="shared" si="16"/>
        <v>402000</v>
      </c>
      <c r="P453" s="14" t="s">
        <v>425</v>
      </c>
    </row>
    <row r="454" spans="1:16" x14ac:dyDescent="0.3">
      <c r="A454" s="8" t="s">
        <v>728</v>
      </c>
      <c r="B454" s="9">
        <v>1642111</v>
      </c>
      <c r="C454" s="10" t="s">
        <v>780</v>
      </c>
      <c r="D454" s="11">
        <v>44001</v>
      </c>
      <c r="E454" s="11">
        <v>44005</v>
      </c>
      <c r="F454" s="31">
        <v>44287000</v>
      </c>
      <c r="G454" s="32">
        <v>0</v>
      </c>
      <c r="H454" s="8" t="s">
        <v>781</v>
      </c>
      <c r="I454" s="12">
        <v>1082127888</v>
      </c>
      <c r="J454" s="13" t="s">
        <v>835</v>
      </c>
      <c r="K454" s="14">
        <v>1</v>
      </c>
      <c r="L454" s="15" t="s">
        <v>1288</v>
      </c>
      <c r="M454" s="16">
        <v>234500</v>
      </c>
      <c r="N454" s="16">
        <v>0</v>
      </c>
      <c r="O454" s="16">
        <f t="shared" si="16"/>
        <v>234500</v>
      </c>
      <c r="P454" s="14" t="s">
        <v>425</v>
      </c>
    </row>
    <row r="455" spans="1:16" x14ac:dyDescent="0.3">
      <c r="A455" s="8" t="s">
        <v>728</v>
      </c>
      <c r="B455" s="9">
        <v>1642111</v>
      </c>
      <c r="C455" s="10" t="s">
        <v>780</v>
      </c>
      <c r="D455" s="11">
        <v>44001</v>
      </c>
      <c r="E455" s="11">
        <v>44005</v>
      </c>
      <c r="F455" s="31">
        <v>44287000</v>
      </c>
      <c r="G455" s="32">
        <v>0</v>
      </c>
      <c r="H455" s="8" t="s">
        <v>781</v>
      </c>
      <c r="I455" s="12">
        <v>1082127888</v>
      </c>
      <c r="J455" s="13" t="s">
        <v>836</v>
      </c>
      <c r="K455" s="14">
        <v>1</v>
      </c>
      <c r="L455" s="15" t="s">
        <v>1288</v>
      </c>
      <c r="M455" s="16">
        <v>201000</v>
      </c>
      <c r="N455" s="16">
        <v>0</v>
      </c>
      <c r="O455" s="16">
        <f t="shared" si="16"/>
        <v>201000</v>
      </c>
      <c r="P455" s="14" t="s">
        <v>425</v>
      </c>
    </row>
    <row r="456" spans="1:16" x14ac:dyDescent="0.3">
      <c r="A456" s="8" t="s">
        <v>728</v>
      </c>
      <c r="B456" s="9">
        <v>1642111</v>
      </c>
      <c r="C456" s="10" t="s">
        <v>780</v>
      </c>
      <c r="D456" s="11">
        <v>44001</v>
      </c>
      <c r="E456" s="11">
        <v>44005</v>
      </c>
      <c r="F456" s="31">
        <v>44287000</v>
      </c>
      <c r="G456" s="32">
        <v>0</v>
      </c>
      <c r="H456" s="8" t="s">
        <v>781</v>
      </c>
      <c r="I456" s="12">
        <v>1082127888</v>
      </c>
      <c r="J456" s="13" t="s">
        <v>837</v>
      </c>
      <c r="K456" s="14">
        <v>1</v>
      </c>
      <c r="L456" s="15" t="s">
        <v>1288</v>
      </c>
      <c r="M456" s="16">
        <v>201000</v>
      </c>
      <c r="N456" s="16">
        <v>0</v>
      </c>
      <c r="O456" s="16">
        <f t="shared" si="16"/>
        <v>201000</v>
      </c>
      <c r="P456" s="14" t="s">
        <v>425</v>
      </c>
    </row>
    <row r="457" spans="1:16" x14ac:dyDescent="0.3">
      <c r="A457" s="8" t="s">
        <v>728</v>
      </c>
      <c r="B457" s="9">
        <v>1642111</v>
      </c>
      <c r="C457" s="10" t="s">
        <v>780</v>
      </c>
      <c r="D457" s="11">
        <v>44001</v>
      </c>
      <c r="E457" s="11">
        <v>44005</v>
      </c>
      <c r="F457" s="31">
        <v>44287000</v>
      </c>
      <c r="G457" s="32">
        <v>0</v>
      </c>
      <c r="H457" s="8" t="s">
        <v>781</v>
      </c>
      <c r="I457" s="12">
        <v>1082127888</v>
      </c>
      <c r="J457" s="13" t="s">
        <v>838</v>
      </c>
      <c r="K457" s="14">
        <v>1</v>
      </c>
      <c r="L457" s="15" t="s">
        <v>1288</v>
      </c>
      <c r="M457" s="16">
        <v>201000</v>
      </c>
      <c r="N457" s="16">
        <v>0</v>
      </c>
      <c r="O457" s="16">
        <f t="shared" si="16"/>
        <v>201000</v>
      </c>
      <c r="P457" s="14" t="s">
        <v>425</v>
      </c>
    </row>
    <row r="458" spans="1:16" x14ac:dyDescent="0.3">
      <c r="A458" s="8" t="s">
        <v>728</v>
      </c>
      <c r="B458" s="9">
        <v>1642111</v>
      </c>
      <c r="C458" s="10" t="s">
        <v>780</v>
      </c>
      <c r="D458" s="11">
        <v>44001</v>
      </c>
      <c r="E458" s="11">
        <v>44005</v>
      </c>
      <c r="F458" s="31">
        <v>44287000</v>
      </c>
      <c r="G458" s="32">
        <v>0</v>
      </c>
      <c r="H458" s="8" t="s">
        <v>781</v>
      </c>
      <c r="I458" s="12">
        <v>1082127888</v>
      </c>
      <c r="J458" s="13" t="s">
        <v>839</v>
      </c>
      <c r="K458" s="14">
        <v>2</v>
      </c>
      <c r="L458" s="15" t="s">
        <v>1288</v>
      </c>
      <c r="M458" s="16">
        <v>234500</v>
      </c>
      <c r="N458" s="16">
        <v>0</v>
      </c>
      <c r="O458" s="16">
        <f t="shared" si="16"/>
        <v>469000</v>
      </c>
      <c r="P458" s="14" t="s">
        <v>425</v>
      </c>
    </row>
    <row r="459" spans="1:16" x14ac:dyDescent="0.3">
      <c r="A459" s="8" t="s">
        <v>728</v>
      </c>
      <c r="B459" s="9">
        <v>1642111</v>
      </c>
      <c r="C459" s="10" t="s">
        <v>780</v>
      </c>
      <c r="D459" s="11">
        <v>44001</v>
      </c>
      <c r="E459" s="11">
        <v>44005</v>
      </c>
      <c r="F459" s="31">
        <v>44287000</v>
      </c>
      <c r="G459" s="32">
        <v>0</v>
      </c>
      <c r="H459" s="8" t="s">
        <v>781</v>
      </c>
      <c r="I459" s="12">
        <v>1082127888</v>
      </c>
      <c r="J459" s="13" t="s">
        <v>840</v>
      </c>
      <c r="K459" s="14">
        <v>3</v>
      </c>
      <c r="L459" s="15" t="s">
        <v>1288</v>
      </c>
      <c r="M459" s="16">
        <v>569500</v>
      </c>
      <c r="N459" s="16">
        <v>0</v>
      </c>
      <c r="O459" s="16">
        <f t="shared" si="16"/>
        <v>1708500</v>
      </c>
      <c r="P459" s="14" t="s">
        <v>425</v>
      </c>
    </row>
    <row r="460" spans="1:16" x14ac:dyDescent="0.3">
      <c r="A460" s="8" t="s">
        <v>728</v>
      </c>
      <c r="B460" s="9">
        <v>1642111</v>
      </c>
      <c r="C460" s="10" t="s">
        <v>780</v>
      </c>
      <c r="D460" s="11">
        <v>44001</v>
      </c>
      <c r="E460" s="11">
        <v>44005</v>
      </c>
      <c r="F460" s="31">
        <v>44287000</v>
      </c>
      <c r="G460" s="32">
        <v>0</v>
      </c>
      <c r="H460" s="8" t="s">
        <v>781</v>
      </c>
      <c r="I460" s="12">
        <v>1082127888</v>
      </c>
      <c r="J460" s="13" t="s">
        <v>841</v>
      </c>
      <c r="K460" s="14">
        <v>3</v>
      </c>
      <c r="L460" s="15" t="s">
        <v>1288</v>
      </c>
      <c r="M460" s="16">
        <v>268000</v>
      </c>
      <c r="N460" s="16">
        <v>0</v>
      </c>
      <c r="O460" s="16">
        <f t="shared" si="16"/>
        <v>804000</v>
      </c>
      <c r="P460" s="14" t="s">
        <v>425</v>
      </c>
    </row>
    <row r="461" spans="1:16" x14ac:dyDescent="0.3">
      <c r="A461" s="8" t="s">
        <v>728</v>
      </c>
      <c r="B461" s="9">
        <v>1642111</v>
      </c>
      <c r="C461" s="10" t="s">
        <v>780</v>
      </c>
      <c r="D461" s="11">
        <v>44001</v>
      </c>
      <c r="E461" s="11">
        <v>44005</v>
      </c>
      <c r="F461" s="31">
        <v>44287000</v>
      </c>
      <c r="G461" s="32">
        <v>0</v>
      </c>
      <c r="H461" s="8" t="s">
        <v>781</v>
      </c>
      <c r="I461" s="12">
        <v>1082127888</v>
      </c>
      <c r="J461" s="13" t="s">
        <v>842</v>
      </c>
      <c r="K461" s="14">
        <v>1</v>
      </c>
      <c r="L461" s="15" t="s">
        <v>1288</v>
      </c>
      <c r="M461" s="16">
        <v>938000</v>
      </c>
      <c r="N461" s="16">
        <v>0</v>
      </c>
      <c r="O461" s="16">
        <f t="shared" si="16"/>
        <v>938000</v>
      </c>
      <c r="P461" s="14" t="s">
        <v>425</v>
      </c>
    </row>
    <row r="462" spans="1:16" x14ac:dyDescent="0.3">
      <c r="A462" s="8" t="s">
        <v>728</v>
      </c>
      <c r="B462" s="9">
        <v>1642111</v>
      </c>
      <c r="C462" s="10" t="s">
        <v>780</v>
      </c>
      <c r="D462" s="11">
        <v>44001</v>
      </c>
      <c r="E462" s="11">
        <v>44005</v>
      </c>
      <c r="F462" s="31">
        <v>44287000</v>
      </c>
      <c r="G462" s="32">
        <v>0</v>
      </c>
      <c r="H462" s="8" t="s">
        <v>781</v>
      </c>
      <c r="I462" s="12">
        <v>1082127888</v>
      </c>
      <c r="J462" s="13" t="s">
        <v>843</v>
      </c>
      <c r="K462" s="14">
        <v>1</v>
      </c>
      <c r="L462" s="15" t="s">
        <v>1288</v>
      </c>
      <c r="M462" s="16">
        <v>938000</v>
      </c>
      <c r="N462" s="16">
        <v>0</v>
      </c>
      <c r="O462" s="16">
        <f t="shared" si="16"/>
        <v>938000</v>
      </c>
      <c r="P462" s="14" t="s">
        <v>425</v>
      </c>
    </row>
    <row r="463" spans="1:16" x14ac:dyDescent="0.3">
      <c r="A463" s="8" t="s">
        <v>728</v>
      </c>
      <c r="B463" s="9">
        <v>1642111</v>
      </c>
      <c r="C463" s="10" t="s">
        <v>780</v>
      </c>
      <c r="D463" s="11">
        <v>44001</v>
      </c>
      <c r="E463" s="11">
        <v>44005</v>
      </c>
      <c r="F463" s="31">
        <v>44287000</v>
      </c>
      <c r="G463" s="32">
        <v>0</v>
      </c>
      <c r="H463" s="8" t="s">
        <v>781</v>
      </c>
      <c r="I463" s="12">
        <v>1082127888</v>
      </c>
      <c r="J463" s="13" t="s">
        <v>844</v>
      </c>
      <c r="K463" s="14">
        <v>1</v>
      </c>
      <c r="L463" s="15" t="s">
        <v>1288</v>
      </c>
      <c r="M463" s="16">
        <v>938000</v>
      </c>
      <c r="N463" s="16">
        <v>0</v>
      </c>
      <c r="O463" s="16">
        <f t="shared" si="16"/>
        <v>938000</v>
      </c>
      <c r="P463" s="14" t="s">
        <v>425</v>
      </c>
    </row>
    <row r="464" spans="1:16" x14ac:dyDescent="0.3">
      <c r="A464" s="8" t="s">
        <v>728</v>
      </c>
      <c r="B464" s="9">
        <v>1642111</v>
      </c>
      <c r="C464" s="10" t="s">
        <v>780</v>
      </c>
      <c r="D464" s="11">
        <v>44001</v>
      </c>
      <c r="E464" s="11">
        <v>44005</v>
      </c>
      <c r="F464" s="31">
        <v>44287000</v>
      </c>
      <c r="G464" s="32">
        <v>0</v>
      </c>
      <c r="H464" s="8" t="s">
        <v>781</v>
      </c>
      <c r="I464" s="12">
        <v>1082127888</v>
      </c>
      <c r="J464" s="13" t="s">
        <v>845</v>
      </c>
      <c r="K464" s="14">
        <v>1</v>
      </c>
      <c r="L464" s="15" t="s">
        <v>1288</v>
      </c>
      <c r="M464" s="16">
        <v>938000</v>
      </c>
      <c r="N464" s="16">
        <v>0</v>
      </c>
      <c r="O464" s="16">
        <f t="shared" si="16"/>
        <v>938000</v>
      </c>
      <c r="P464" s="14" t="s">
        <v>425</v>
      </c>
    </row>
    <row r="465" spans="1:16" x14ac:dyDescent="0.3">
      <c r="A465" s="8" t="s">
        <v>728</v>
      </c>
      <c r="B465" s="9">
        <v>1642111</v>
      </c>
      <c r="C465" s="10" t="s">
        <v>780</v>
      </c>
      <c r="D465" s="11">
        <v>44001</v>
      </c>
      <c r="E465" s="11">
        <v>44005</v>
      </c>
      <c r="F465" s="31">
        <v>44287000</v>
      </c>
      <c r="G465" s="32">
        <v>0</v>
      </c>
      <c r="H465" s="8" t="s">
        <v>781</v>
      </c>
      <c r="I465" s="12">
        <v>1082127888</v>
      </c>
      <c r="J465" s="13" t="s">
        <v>846</v>
      </c>
      <c r="K465" s="14">
        <v>1</v>
      </c>
      <c r="L465" s="15" t="s">
        <v>1288</v>
      </c>
      <c r="M465" s="16">
        <v>938000</v>
      </c>
      <c r="N465" s="16">
        <v>0</v>
      </c>
      <c r="O465" s="16">
        <f t="shared" si="16"/>
        <v>938000</v>
      </c>
      <c r="P465" s="14" t="s">
        <v>425</v>
      </c>
    </row>
    <row r="466" spans="1:16" x14ac:dyDescent="0.3">
      <c r="A466" s="8" t="s">
        <v>728</v>
      </c>
      <c r="B466" s="9">
        <v>1642111</v>
      </c>
      <c r="C466" s="10" t="s">
        <v>780</v>
      </c>
      <c r="D466" s="11">
        <v>44001</v>
      </c>
      <c r="E466" s="11">
        <v>44005</v>
      </c>
      <c r="F466" s="31">
        <v>44287000</v>
      </c>
      <c r="G466" s="32">
        <v>0</v>
      </c>
      <c r="H466" s="8" t="s">
        <v>781</v>
      </c>
      <c r="I466" s="12">
        <v>1082127888</v>
      </c>
      <c r="J466" s="13" t="s">
        <v>847</v>
      </c>
      <c r="K466" s="14">
        <v>1</v>
      </c>
      <c r="L466" s="15" t="s">
        <v>1288</v>
      </c>
      <c r="M466" s="16">
        <v>938000</v>
      </c>
      <c r="N466" s="16">
        <v>0</v>
      </c>
      <c r="O466" s="16">
        <f t="shared" si="16"/>
        <v>938000</v>
      </c>
      <c r="P466" s="14" t="s">
        <v>425</v>
      </c>
    </row>
    <row r="467" spans="1:16" x14ac:dyDescent="0.3">
      <c r="A467" s="8" t="s">
        <v>728</v>
      </c>
      <c r="B467" s="9">
        <v>1642111</v>
      </c>
      <c r="C467" s="10" t="s">
        <v>780</v>
      </c>
      <c r="D467" s="11">
        <v>44001</v>
      </c>
      <c r="E467" s="11">
        <v>44005</v>
      </c>
      <c r="F467" s="31">
        <v>44287000</v>
      </c>
      <c r="G467" s="32">
        <v>0</v>
      </c>
      <c r="H467" s="8" t="s">
        <v>781</v>
      </c>
      <c r="I467" s="12">
        <v>1082127888</v>
      </c>
      <c r="J467" s="13" t="s">
        <v>848</v>
      </c>
      <c r="K467" s="14">
        <v>1</v>
      </c>
      <c r="L467" s="15" t="s">
        <v>1288</v>
      </c>
      <c r="M467" s="16">
        <v>301500</v>
      </c>
      <c r="N467" s="16">
        <v>0</v>
      </c>
      <c r="O467" s="16">
        <f t="shared" si="16"/>
        <v>301500</v>
      </c>
      <c r="P467" s="14" t="s">
        <v>425</v>
      </c>
    </row>
    <row r="468" spans="1:16" x14ac:dyDescent="0.3">
      <c r="A468" s="8" t="s">
        <v>728</v>
      </c>
      <c r="B468" s="9">
        <v>1642111</v>
      </c>
      <c r="C468" s="10" t="s">
        <v>780</v>
      </c>
      <c r="D468" s="11">
        <v>44001</v>
      </c>
      <c r="E468" s="11">
        <v>44005</v>
      </c>
      <c r="F468" s="31">
        <v>44287000</v>
      </c>
      <c r="G468" s="32">
        <v>0</v>
      </c>
      <c r="H468" s="8" t="s">
        <v>781</v>
      </c>
      <c r="I468" s="12">
        <v>1082127888</v>
      </c>
      <c r="J468" s="13" t="s">
        <v>849</v>
      </c>
      <c r="K468" s="14">
        <v>1</v>
      </c>
      <c r="L468" s="15" t="s">
        <v>1288</v>
      </c>
      <c r="M468" s="16">
        <v>234500</v>
      </c>
      <c r="N468" s="16">
        <v>0</v>
      </c>
      <c r="O468" s="16">
        <f t="shared" si="16"/>
        <v>234500</v>
      </c>
      <c r="P468" s="14" t="s">
        <v>425</v>
      </c>
    </row>
    <row r="469" spans="1:16" x14ac:dyDescent="0.3">
      <c r="A469" s="8" t="s">
        <v>728</v>
      </c>
      <c r="B469" s="9">
        <v>1642111</v>
      </c>
      <c r="C469" s="10" t="s">
        <v>780</v>
      </c>
      <c r="D469" s="11">
        <v>44001</v>
      </c>
      <c r="E469" s="11">
        <v>44005</v>
      </c>
      <c r="F469" s="31">
        <v>44287000</v>
      </c>
      <c r="G469" s="32">
        <v>0</v>
      </c>
      <c r="H469" s="8" t="s">
        <v>781</v>
      </c>
      <c r="I469" s="12">
        <v>1082127888</v>
      </c>
      <c r="J469" s="13" t="s">
        <v>850</v>
      </c>
      <c r="K469" s="14">
        <v>1</v>
      </c>
      <c r="L469" s="15" t="s">
        <v>1288</v>
      </c>
      <c r="M469" s="16">
        <v>201000</v>
      </c>
      <c r="N469" s="16">
        <v>0</v>
      </c>
      <c r="O469" s="16">
        <f t="shared" si="16"/>
        <v>201000</v>
      </c>
      <c r="P469" s="14" t="s">
        <v>425</v>
      </c>
    </row>
    <row r="470" spans="1:16" x14ac:dyDescent="0.3">
      <c r="A470" s="8" t="s">
        <v>728</v>
      </c>
      <c r="B470" s="9">
        <v>1642111</v>
      </c>
      <c r="C470" s="10" t="s">
        <v>780</v>
      </c>
      <c r="D470" s="11">
        <v>44001</v>
      </c>
      <c r="E470" s="11">
        <v>44005</v>
      </c>
      <c r="F470" s="31">
        <v>44287000</v>
      </c>
      <c r="G470" s="32">
        <v>0</v>
      </c>
      <c r="H470" s="8" t="s">
        <v>781</v>
      </c>
      <c r="I470" s="12">
        <v>1082127888</v>
      </c>
      <c r="J470" s="13" t="s">
        <v>851</v>
      </c>
      <c r="K470" s="14">
        <v>1</v>
      </c>
      <c r="L470" s="15" t="s">
        <v>1288</v>
      </c>
      <c r="M470" s="16">
        <v>201000</v>
      </c>
      <c r="N470" s="16">
        <v>0</v>
      </c>
      <c r="O470" s="16">
        <f t="shared" si="16"/>
        <v>201000</v>
      </c>
      <c r="P470" s="14" t="s">
        <v>425</v>
      </c>
    </row>
    <row r="471" spans="1:16" x14ac:dyDescent="0.3">
      <c r="A471" s="8" t="s">
        <v>728</v>
      </c>
      <c r="B471" s="9">
        <v>1642111</v>
      </c>
      <c r="C471" s="10" t="s">
        <v>780</v>
      </c>
      <c r="D471" s="11">
        <v>44001</v>
      </c>
      <c r="E471" s="11">
        <v>44005</v>
      </c>
      <c r="F471" s="31">
        <v>44287000</v>
      </c>
      <c r="G471" s="32">
        <v>0</v>
      </c>
      <c r="H471" s="8" t="s">
        <v>781</v>
      </c>
      <c r="I471" s="12">
        <v>1082127888</v>
      </c>
      <c r="J471" s="13" t="s">
        <v>852</v>
      </c>
      <c r="K471" s="14">
        <v>1</v>
      </c>
      <c r="L471" s="15" t="s">
        <v>1288</v>
      </c>
      <c r="M471" s="16">
        <v>201000</v>
      </c>
      <c r="N471" s="16">
        <v>0</v>
      </c>
      <c r="O471" s="16">
        <f t="shared" si="16"/>
        <v>201000</v>
      </c>
      <c r="P471" s="14" t="s">
        <v>425</v>
      </c>
    </row>
    <row r="472" spans="1:16" x14ac:dyDescent="0.3">
      <c r="A472" s="8" t="s">
        <v>728</v>
      </c>
      <c r="B472" s="9">
        <v>1642111</v>
      </c>
      <c r="C472" s="10" t="s">
        <v>780</v>
      </c>
      <c r="D472" s="11">
        <v>44001</v>
      </c>
      <c r="E472" s="11">
        <v>44005</v>
      </c>
      <c r="F472" s="31">
        <v>44287000</v>
      </c>
      <c r="G472" s="32">
        <v>0</v>
      </c>
      <c r="H472" s="8" t="s">
        <v>781</v>
      </c>
      <c r="I472" s="12">
        <v>1082127888</v>
      </c>
      <c r="J472" s="13" t="s">
        <v>853</v>
      </c>
      <c r="K472" s="14">
        <v>1</v>
      </c>
      <c r="L472" s="15" t="s">
        <v>1288</v>
      </c>
      <c r="M472" s="16">
        <v>201000</v>
      </c>
      <c r="N472" s="16">
        <v>0</v>
      </c>
      <c r="O472" s="16">
        <f t="shared" si="16"/>
        <v>201000</v>
      </c>
      <c r="P472" s="14" t="s">
        <v>425</v>
      </c>
    </row>
    <row r="473" spans="1:16" x14ac:dyDescent="0.3">
      <c r="A473" s="8" t="s">
        <v>728</v>
      </c>
      <c r="B473" s="9">
        <v>1642111</v>
      </c>
      <c r="C473" s="10" t="s">
        <v>780</v>
      </c>
      <c r="D473" s="11">
        <v>44001</v>
      </c>
      <c r="E473" s="11">
        <v>44005</v>
      </c>
      <c r="F473" s="31">
        <v>44287000</v>
      </c>
      <c r="G473" s="32">
        <v>0</v>
      </c>
      <c r="H473" s="8" t="s">
        <v>781</v>
      </c>
      <c r="I473" s="12">
        <v>1082127888</v>
      </c>
      <c r="J473" s="13" t="s">
        <v>854</v>
      </c>
      <c r="K473" s="14">
        <v>1</v>
      </c>
      <c r="L473" s="15" t="s">
        <v>1288</v>
      </c>
      <c r="M473" s="16">
        <v>201000</v>
      </c>
      <c r="N473" s="16">
        <v>0</v>
      </c>
      <c r="O473" s="16">
        <f t="shared" si="16"/>
        <v>201000</v>
      </c>
      <c r="P473" s="14" t="s">
        <v>425</v>
      </c>
    </row>
    <row r="474" spans="1:16" x14ac:dyDescent="0.3">
      <c r="A474" s="8" t="s">
        <v>728</v>
      </c>
      <c r="B474" s="9">
        <v>1642111</v>
      </c>
      <c r="C474" s="10" t="s">
        <v>780</v>
      </c>
      <c r="D474" s="11">
        <v>44001</v>
      </c>
      <c r="E474" s="11">
        <v>44005</v>
      </c>
      <c r="F474" s="31">
        <v>44287000</v>
      </c>
      <c r="G474" s="32">
        <v>0</v>
      </c>
      <c r="H474" s="8" t="s">
        <v>781</v>
      </c>
      <c r="I474" s="12">
        <v>1082127888</v>
      </c>
      <c r="J474" s="13" t="s">
        <v>855</v>
      </c>
      <c r="K474" s="14">
        <v>1</v>
      </c>
      <c r="L474" s="15" t="s">
        <v>1288</v>
      </c>
      <c r="M474" s="16">
        <v>201000</v>
      </c>
      <c r="N474" s="16">
        <v>0</v>
      </c>
      <c r="O474" s="16">
        <f t="shared" si="16"/>
        <v>201000</v>
      </c>
      <c r="P474" s="14" t="s">
        <v>425</v>
      </c>
    </row>
    <row r="475" spans="1:16" x14ac:dyDescent="0.3">
      <c r="A475" s="8" t="s">
        <v>728</v>
      </c>
      <c r="B475" s="9">
        <v>1642111</v>
      </c>
      <c r="C475" s="10" t="s">
        <v>780</v>
      </c>
      <c r="D475" s="11">
        <v>44001</v>
      </c>
      <c r="E475" s="11">
        <v>44005</v>
      </c>
      <c r="F475" s="31">
        <v>44287000</v>
      </c>
      <c r="G475" s="32">
        <v>0</v>
      </c>
      <c r="H475" s="8" t="s">
        <v>781</v>
      </c>
      <c r="I475" s="12">
        <v>1082127888</v>
      </c>
      <c r="J475" s="13" t="s">
        <v>856</v>
      </c>
      <c r="K475" s="14">
        <v>1</v>
      </c>
      <c r="L475" s="15" t="s">
        <v>1288</v>
      </c>
      <c r="M475" s="16">
        <v>201000</v>
      </c>
      <c r="N475" s="16">
        <v>0</v>
      </c>
      <c r="O475" s="16">
        <f t="shared" si="16"/>
        <v>201000</v>
      </c>
      <c r="P475" s="14" t="s">
        <v>425</v>
      </c>
    </row>
    <row r="476" spans="1:16" x14ac:dyDescent="0.3">
      <c r="A476" s="8" t="s">
        <v>728</v>
      </c>
      <c r="B476" s="9">
        <v>1642111</v>
      </c>
      <c r="C476" s="10" t="s">
        <v>780</v>
      </c>
      <c r="D476" s="11">
        <v>44001</v>
      </c>
      <c r="E476" s="11">
        <v>44005</v>
      </c>
      <c r="F476" s="31">
        <v>44287000</v>
      </c>
      <c r="G476" s="32">
        <v>0</v>
      </c>
      <c r="H476" s="8" t="s">
        <v>781</v>
      </c>
      <c r="I476" s="12">
        <v>1082127888</v>
      </c>
      <c r="J476" s="13" t="s">
        <v>857</v>
      </c>
      <c r="K476" s="14">
        <v>3</v>
      </c>
      <c r="L476" s="15" t="s">
        <v>1288</v>
      </c>
      <c r="M476" s="16">
        <v>670000</v>
      </c>
      <c r="N476" s="16">
        <v>0</v>
      </c>
      <c r="O476" s="16">
        <f t="shared" si="16"/>
        <v>2010000</v>
      </c>
      <c r="P476" s="14" t="s">
        <v>425</v>
      </c>
    </row>
    <row r="477" spans="1:16" x14ac:dyDescent="0.3">
      <c r="A477" s="8" t="s">
        <v>728</v>
      </c>
      <c r="B477" s="9">
        <v>1642111</v>
      </c>
      <c r="C477" s="10" t="s">
        <v>780</v>
      </c>
      <c r="D477" s="11">
        <v>44001</v>
      </c>
      <c r="E477" s="11">
        <v>44005</v>
      </c>
      <c r="F477" s="31">
        <v>44287000</v>
      </c>
      <c r="G477" s="32">
        <v>0</v>
      </c>
      <c r="H477" s="8" t="s">
        <v>781</v>
      </c>
      <c r="I477" s="12">
        <v>1082127888</v>
      </c>
      <c r="J477" s="13" t="s">
        <v>858</v>
      </c>
      <c r="K477" s="14">
        <v>3</v>
      </c>
      <c r="L477" s="15" t="s">
        <v>1288</v>
      </c>
      <c r="M477" s="16">
        <v>335000</v>
      </c>
      <c r="N477" s="16">
        <v>0</v>
      </c>
      <c r="O477" s="16">
        <f t="shared" si="16"/>
        <v>1005000</v>
      </c>
      <c r="P477" s="14" t="s">
        <v>425</v>
      </c>
    </row>
    <row r="478" spans="1:16" x14ac:dyDescent="0.3">
      <c r="A478" s="8" t="s">
        <v>728</v>
      </c>
      <c r="B478" s="9">
        <v>1642111</v>
      </c>
      <c r="C478" s="10" t="s">
        <v>780</v>
      </c>
      <c r="D478" s="11">
        <v>44001</v>
      </c>
      <c r="E478" s="11">
        <v>44005</v>
      </c>
      <c r="F478" s="31">
        <v>44287000</v>
      </c>
      <c r="G478" s="32">
        <v>0</v>
      </c>
      <c r="H478" s="8" t="s">
        <v>781</v>
      </c>
      <c r="I478" s="12">
        <v>1082127888</v>
      </c>
      <c r="J478" s="13" t="s">
        <v>859</v>
      </c>
      <c r="K478" s="14">
        <v>2</v>
      </c>
      <c r="L478" s="15" t="s">
        <v>1288</v>
      </c>
      <c r="M478" s="16">
        <v>201000</v>
      </c>
      <c r="N478" s="16">
        <v>0</v>
      </c>
      <c r="O478" s="16">
        <f t="shared" si="16"/>
        <v>402000</v>
      </c>
      <c r="P478" s="14" t="s">
        <v>425</v>
      </c>
    </row>
    <row r="479" spans="1:16" x14ac:dyDescent="0.3">
      <c r="A479" s="8" t="s">
        <v>728</v>
      </c>
      <c r="B479" s="9">
        <v>1642111</v>
      </c>
      <c r="C479" s="10" t="s">
        <v>780</v>
      </c>
      <c r="D479" s="11">
        <v>44001</v>
      </c>
      <c r="E479" s="11">
        <v>44005</v>
      </c>
      <c r="F479" s="31">
        <v>44287000</v>
      </c>
      <c r="G479" s="32">
        <v>0</v>
      </c>
      <c r="H479" s="8" t="s">
        <v>781</v>
      </c>
      <c r="I479" s="12">
        <v>1082127888</v>
      </c>
      <c r="J479" s="13" t="s">
        <v>860</v>
      </c>
      <c r="K479" s="14">
        <v>1</v>
      </c>
      <c r="L479" s="15" t="s">
        <v>1288</v>
      </c>
      <c r="M479" s="16">
        <v>402000</v>
      </c>
      <c r="N479" s="16">
        <v>0</v>
      </c>
      <c r="O479" s="16">
        <f t="shared" si="16"/>
        <v>402000</v>
      </c>
      <c r="P479" s="14" t="s">
        <v>425</v>
      </c>
    </row>
    <row r="480" spans="1:16" x14ac:dyDescent="0.3">
      <c r="A480" s="8" t="s">
        <v>728</v>
      </c>
      <c r="B480" s="9">
        <v>1642111</v>
      </c>
      <c r="C480" s="10" t="s">
        <v>780</v>
      </c>
      <c r="D480" s="11">
        <v>44001</v>
      </c>
      <c r="E480" s="11">
        <v>44005</v>
      </c>
      <c r="F480" s="31">
        <v>44287000</v>
      </c>
      <c r="G480" s="32">
        <v>0</v>
      </c>
      <c r="H480" s="8" t="s">
        <v>781</v>
      </c>
      <c r="I480" s="12">
        <v>1082127888</v>
      </c>
      <c r="J480" s="13" t="s">
        <v>861</v>
      </c>
      <c r="K480" s="14">
        <v>3</v>
      </c>
      <c r="L480" s="15" t="s">
        <v>1288</v>
      </c>
      <c r="M480" s="16">
        <v>402000</v>
      </c>
      <c r="N480" s="16">
        <v>0</v>
      </c>
      <c r="O480" s="16">
        <f t="shared" si="16"/>
        <v>1206000</v>
      </c>
      <c r="P480" s="14" t="s">
        <v>425</v>
      </c>
    </row>
    <row r="481" spans="1:16" x14ac:dyDescent="0.3">
      <c r="A481" s="8" t="s">
        <v>728</v>
      </c>
      <c r="B481" s="9">
        <v>1642111</v>
      </c>
      <c r="C481" s="10" t="s">
        <v>780</v>
      </c>
      <c r="D481" s="11">
        <v>44001</v>
      </c>
      <c r="E481" s="11">
        <v>44005</v>
      </c>
      <c r="F481" s="31">
        <v>44287000</v>
      </c>
      <c r="G481" s="32">
        <v>0</v>
      </c>
      <c r="H481" s="8" t="s">
        <v>781</v>
      </c>
      <c r="I481" s="12">
        <v>1082127888</v>
      </c>
      <c r="J481" s="13" t="s">
        <v>862</v>
      </c>
      <c r="K481" s="14">
        <v>2</v>
      </c>
      <c r="L481" s="15" t="s">
        <v>1288</v>
      </c>
      <c r="M481" s="16">
        <v>268000</v>
      </c>
      <c r="N481" s="16">
        <v>0</v>
      </c>
      <c r="O481" s="16">
        <f t="shared" si="16"/>
        <v>536000</v>
      </c>
      <c r="P481" s="14" t="s">
        <v>425</v>
      </c>
    </row>
    <row r="482" spans="1:16" x14ac:dyDescent="0.3">
      <c r="A482" s="8" t="s">
        <v>728</v>
      </c>
      <c r="B482" s="9">
        <v>1642111</v>
      </c>
      <c r="C482" s="10" t="s">
        <v>780</v>
      </c>
      <c r="D482" s="11">
        <v>44001</v>
      </c>
      <c r="E482" s="11">
        <v>44005</v>
      </c>
      <c r="F482" s="31">
        <v>44287000</v>
      </c>
      <c r="G482" s="32">
        <v>0</v>
      </c>
      <c r="H482" s="8" t="s">
        <v>781</v>
      </c>
      <c r="I482" s="12">
        <v>1082127888</v>
      </c>
      <c r="J482" s="13" t="s">
        <v>863</v>
      </c>
      <c r="K482" s="14">
        <v>3</v>
      </c>
      <c r="L482" s="15" t="s">
        <v>1288</v>
      </c>
      <c r="M482" s="16">
        <v>268000</v>
      </c>
      <c r="N482" s="16">
        <v>0</v>
      </c>
      <c r="O482" s="16">
        <f t="shared" si="16"/>
        <v>804000</v>
      </c>
      <c r="P482" s="14" t="s">
        <v>425</v>
      </c>
    </row>
    <row r="483" spans="1:16" x14ac:dyDescent="0.3">
      <c r="A483" s="8" t="s">
        <v>728</v>
      </c>
      <c r="B483" s="9">
        <v>1642111</v>
      </c>
      <c r="C483" s="10" t="s">
        <v>780</v>
      </c>
      <c r="D483" s="11">
        <v>44001</v>
      </c>
      <c r="E483" s="11">
        <v>44005</v>
      </c>
      <c r="F483" s="31">
        <v>44287000</v>
      </c>
      <c r="G483" s="32">
        <v>0</v>
      </c>
      <c r="H483" s="8" t="s">
        <v>781</v>
      </c>
      <c r="I483" s="12">
        <v>1082127888</v>
      </c>
      <c r="J483" s="13" t="s">
        <v>864</v>
      </c>
      <c r="K483" s="14">
        <v>1</v>
      </c>
      <c r="L483" s="15" t="s">
        <v>1288</v>
      </c>
      <c r="M483" s="16">
        <v>301500</v>
      </c>
      <c r="N483" s="16">
        <v>0</v>
      </c>
      <c r="O483" s="16">
        <f t="shared" si="16"/>
        <v>301500</v>
      </c>
      <c r="P483" s="14" t="s">
        <v>425</v>
      </c>
    </row>
    <row r="484" spans="1:16" x14ac:dyDescent="0.3">
      <c r="A484" s="8" t="s">
        <v>728</v>
      </c>
      <c r="B484" s="9">
        <v>1642111</v>
      </c>
      <c r="C484" s="10" t="s">
        <v>780</v>
      </c>
      <c r="D484" s="11">
        <v>44001</v>
      </c>
      <c r="E484" s="11">
        <v>44005</v>
      </c>
      <c r="F484" s="31">
        <v>44287000</v>
      </c>
      <c r="G484" s="32">
        <v>0</v>
      </c>
      <c r="H484" s="8" t="s">
        <v>781</v>
      </c>
      <c r="I484" s="12">
        <v>1082127888</v>
      </c>
      <c r="J484" s="13" t="s">
        <v>865</v>
      </c>
      <c r="K484" s="14">
        <v>1</v>
      </c>
      <c r="L484" s="15" t="s">
        <v>1288</v>
      </c>
      <c r="M484" s="16">
        <v>301500</v>
      </c>
      <c r="N484" s="16">
        <v>0</v>
      </c>
      <c r="O484" s="16">
        <f t="shared" si="16"/>
        <v>301500</v>
      </c>
      <c r="P484" s="14" t="s">
        <v>425</v>
      </c>
    </row>
    <row r="485" spans="1:16" x14ac:dyDescent="0.3">
      <c r="A485" s="8" t="s">
        <v>728</v>
      </c>
      <c r="B485" s="9">
        <v>1642111</v>
      </c>
      <c r="C485" s="10" t="s">
        <v>780</v>
      </c>
      <c r="D485" s="11">
        <v>44001</v>
      </c>
      <c r="E485" s="11">
        <v>44005</v>
      </c>
      <c r="F485" s="31">
        <v>44287000</v>
      </c>
      <c r="G485" s="32">
        <v>0</v>
      </c>
      <c r="H485" s="8" t="s">
        <v>781</v>
      </c>
      <c r="I485" s="12">
        <v>1082127888</v>
      </c>
      <c r="J485" s="13" t="s">
        <v>866</v>
      </c>
      <c r="K485" s="14">
        <v>2</v>
      </c>
      <c r="L485" s="15" t="s">
        <v>1288</v>
      </c>
      <c r="M485" s="16">
        <v>234500</v>
      </c>
      <c r="N485" s="16">
        <v>0</v>
      </c>
      <c r="O485" s="16">
        <f t="shared" si="16"/>
        <v>469000</v>
      </c>
      <c r="P485" s="14" t="s">
        <v>425</v>
      </c>
    </row>
    <row r="486" spans="1:16" x14ac:dyDescent="0.3">
      <c r="A486" s="8" t="s">
        <v>728</v>
      </c>
      <c r="B486" s="9">
        <v>1642111</v>
      </c>
      <c r="C486" s="10" t="s">
        <v>780</v>
      </c>
      <c r="D486" s="11">
        <v>44001</v>
      </c>
      <c r="E486" s="11">
        <v>44005</v>
      </c>
      <c r="F486" s="31">
        <v>44287000</v>
      </c>
      <c r="G486" s="32">
        <v>0</v>
      </c>
      <c r="H486" s="8" t="s">
        <v>781</v>
      </c>
      <c r="I486" s="12">
        <v>1082127888</v>
      </c>
      <c r="J486" s="13" t="s">
        <v>867</v>
      </c>
      <c r="K486" s="14">
        <v>1</v>
      </c>
      <c r="L486" s="15" t="s">
        <v>1288</v>
      </c>
      <c r="M486" s="16">
        <v>167500</v>
      </c>
      <c r="N486" s="16">
        <v>0</v>
      </c>
      <c r="O486" s="16">
        <f t="shared" si="16"/>
        <v>167500</v>
      </c>
      <c r="P486" s="14" t="s">
        <v>425</v>
      </c>
    </row>
    <row r="487" spans="1:16" x14ac:dyDescent="0.3">
      <c r="A487" s="8" t="s">
        <v>728</v>
      </c>
      <c r="B487" s="9">
        <v>1642111</v>
      </c>
      <c r="C487" s="10" t="s">
        <v>780</v>
      </c>
      <c r="D487" s="11">
        <v>44001</v>
      </c>
      <c r="E487" s="11">
        <v>44005</v>
      </c>
      <c r="F487" s="31">
        <v>44287000</v>
      </c>
      <c r="G487" s="32">
        <v>0</v>
      </c>
      <c r="H487" s="8" t="s">
        <v>781</v>
      </c>
      <c r="I487" s="12">
        <v>1082127888</v>
      </c>
      <c r="J487" s="13" t="s">
        <v>868</v>
      </c>
      <c r="K487" s="14">
        <v>1</v>
      </c>
      <c r="L487" s="15" t="s">
        <v>1288</v>
      </c>
      <c r="M487" s="16">
        <v>167500</v>
      </c>
      <c r="N487" s="16">
        <v>0</v>
      </c>
      <c r="O487" s="16">
        <f t="shared" si="16"/>
        <v>167500</v>
      </c>
      <c r="P487" s="14" t="s">
        <v>425</v>
      </c>
    </row>
    <row r="488" spans="1:16" x14ac:dyDescent="0.3">
      <c r="A488" s="8" t="s">
        <v>728</v>
      </c>
      <c r="B488" s="9">
        <v>1642111</v>
      </c>
      <c r="C488" s="10" t="s">
        <v>780</v>
      </c>
      <c r="D488" s="11">
        <v>44001</v>
      </c>
      <c r="E488" s="11">
        <v>44005</v>
      </c>
      <c r="F488" s="31">
        <v>44287000</v>
      </c>
      <c r="G488" s="32">
        <v>0</v>
      </c>
      <c r="H488" s="8" t="s">
        <v>781</v>
      </c>
      <c r="I488" s="12">
        <v>1082127888</v>
      </c>
      <c r="J488" s="13" t="s">
        <v>869</v>
      </c>
      <c r="K488" s="14">
        <v>1</v>
      </c>
      <c r="L488" s="15" t="s">
        <v>1288</v>
      </c>
      <c r="M488" s="16">
        <v>167500</v>
      </c>
      <c r="N488" s="16">
        <v>0</v>
      </c>
      <c r="O488" s="16">
        <f t="shared" si="16"/>
        <v>167500</v>
      </c>
      <c r="P488" s="14" t="s">
        <v>425</v>
      </c>
    </row>
    <row r="489" spans="1:16" x14ac:dyDescent="0.3">
      <c r="A489" s="8" t="s">
        <v>728</v>
      </c>
      <c r="B489" s="9" t="s">
        <v>870</v>
      </c>
      <c r="C489" s="10" t="s">
        <v>871</v>
      </c>
      <c r="D489" s="11">
        <v>44005</v>
      </c>
      <c r="E489" s="11">
        <v>44005</v>
      </c>
      <c r="F489" s="31">
        <v>13923759</v>
      </c>
      <c r="G489" s="32">
        <v>0</v>
      </c>
      <c r="H489" s="8" t="s">
        <v>368</v>
      </c>
      <c r="I489" s="12">
        <v>900155107</v>
      </c>
      <c r="J489" s="13" t="s">
        <v>872</v>
      </c>
      <c r="K489" s="14">
        <v>250</v>
      </c>
      <c r="L489" s="15" t="s">
        <v>250</v>
      </c>
      <c r="M489" s="16">
        <v>55462</v>
      </c>
      <c r="N489" s="16">
        <v>233.036</v>
      </c>
      <c r="O489" s="16">
        <f t="shared" si="16"/>
        <v>13923759</v>
      </c>
      <c r="P489" s="14" t="s">
        <v>383</v>
      </c>
    </row>
    <row r="490" spans="1:16" x14ac:dyDescent="0.3">
      <c r="A490" s="8" t="s">
        <v>728</v>
      </c>
      <c r="B490" s="9">
        <v>1651630</v>
      </c>
      <c r="C490" s="10" t="s">
        <v>873</v>
      </c>
      <c r="D490" s="11">
        <v>44008</v>
      </c>
      <c r="E490" s="11">
        <v>44013</v>
      </c>
      <c r="F490" s="31">
        <v>42500000</v>
      </c>
      <c r="G490" s="32">
        <v>0</v>
      </c>
      <c r="H490" s="8" t="s">
        <v>874</v>
      </c>
      <c r="I490" s="12">
        <v>900589666</v>
      </c>
      <c r="J490" s="13" t="s">
        <v>875</v>
      </c>
      <c r="K490" s="14">
        <v>2</v>
      </c>
      <c r="L490" s="15" t="s">
        <v>1281</v>
      </c>
      <c r="M490" s="16">
        <v>2125000</v>
      </c>
      <c r="N490" s="16">
        <v>0</v>
      </c>
      <c r="O490" s="16">
        <f t="shared" si="16"/>
        <v>4250000</v>
      </c>
      <c r="P490" s="14" t="s">
        <v>1282</v>
      </c>
    </row>
    <row r="491" spans="1:16" x14ac:dyDescent="0.3">
      <c r="A491" s="8" t="s">
        <v>728</v>
      </c>
      <c r="B491" s="9">
        <v>1651630</v>
      </c>
      <c r="C491" s="10" t="s">
        <v>873</v>
      </c>
      <c r="D491" s="11">
        <v>44008</v>
      </c>
      <c r="E491" s="11">
        <v>44013</v>
      </c>
      <c r="F491" s="31">
        <v>42500000</v>
      </c>
      <c r="G491" s="32">
        <v>0</v>
      </c>
      <c r="H491" s="8" t="s">
        <v>874</v>
      </c>
      <c r="I491" s="12">
        <v>900589666</v>
      </c>
      <c r="J491" s="13" t="s">
        <v>876</v>
      </c>
      <c r="K491" s="14">
        <v>2</v>
      </c>
      <c r="L491" s="15" t="s">
        <v>1281</v>
      </c>
      <c r="M491" s="16">
        <v>2125000</v>
      </c>
      <c r="N491" s="16">
        <v>0</v>
      </c>
      <c r="O491" s="16">
        <f t="shared" si="16"/>
        <v>4250000</v>
      </c>
      <c r="P491" s="14" t="s">
        <v>1282</v>
      </c>
    </row>
    <row r="492" spans="1:16" x14ac:dyDescent="0.3">
      <c r="A492" s="8" t="s">
        <v>728</v>
      </c>
      <c r="B492" s="9">
        <v>1651630</v>
      </c>
      <c r="C492" s="10" t="s">
        <v>873</v>
      </c>
      <c r="D492" s="11">
        <v>44008</v>
      </c>
      <c r="E492" s="11">
        <v>44013</v>
      </c>
      <c r="F492" s="31">
        <v>42500000</v>
      </c>
      <c r="G492" s="32">
        <v>0</v>
      </c>
      <c r="H492" s="8" t="s">
        <v>874</v>
      </c>
      <c r="I492" s="12">
        <v>900589666</v>
      </c>
      <c r="J492" s="13" t="s">
        <v>877</v>
      </c>
      <c r="K492" s="14">
        <v>2</v>
      </c>
      <c r="L492" s="15" t="s">
        <v>1281</v>
      </c>
      <c r="M492" s="16">
        <v>2125000</v>
      </c>
      <c r="N492" s="16">
        <v>0</v>
      </c>
      <c r="O492" s="16">
        <f t="shared" si="16"/>
        <v>4250000</v>
      </c>
      <c r="P492" s="14" t="s">
        <v>1282</v>
      </c>
    </row>
    <row r="493" spans="1:16" x14ac:dyDescent="0.3">
      <c r="A493" s="8" t="s">
        <v>728</v>
      </c>
      <c r="B493" s="9">
        <v>1651630</v>
      </c>
      <c r="C493" s="10" t="s">
        <v>873</v>
      </c>
      <c r="D493" s="11">
        <v>44008</v>
      </c>
      <c r="E493" s="11">
        <v>44013</v>
      </c>
      <c r="F493" s="31">
        <v>42500000</v>
      </c>
      <c r="G493" s="32">
        <v>0</v>
      </c>
      <c r="H493" s="8" t="s">
        <v>874</v>
      </c>
      <c r="I493" s="12">
        <v>900589666</v>
      </c>
      <c r="J493" s="13" t="s">
        <v>878</v>
      </c>
      <c r="K493" s="14">
        <v>2</v>
      </c>
      <c r="L493" s="15" t="s">
        <v>1281</v>
      </c>
      <c r="M493" s="16">
        <v>2125000</v>
      </c>
      <c r="N493" s="16">
        <v>0</v>
      </c>
      <c r="O493" s="16">
        <f t="shared" si="16"/>
        <v>4250000</v>
      </c>
      <c r="P493" s="14" t="s">
        <v>1282</v>
      </c>
    </row>
    <row r="494" spans="1:16" x14ac:dyDescent="0.3">
      <c r="A494" s="8" t="s">
        <v>728</v>
      </c>
      <c r="B494" s="9">
        <v>1651630</v>
      </c>
      <c r="C494" s="10" t="s">
        <v>873</v>
      </c>
      <c r="D494" s="11">
        <v>44008</v>
      </c>
      <c r="E494" s="11">
        <v>44013</v>
      </c>
      <c r="F494" s="31">
        <v>42500000</v>
      </c>
      <c r="G494" s="32">
        <v>0</v>
      </c>
      <c r="H494" s="8" t="s">
        <v>874</v>
      </c>
      <c r="I494" s="12">
        <v>900589666</v>
      </c>
      <c r="J494" s="13" t="s">
        <v>879</v>
      </c>
      <c r="K494" s="14">
        <v>2</v>
      </c>
      <c r="L494" s="15" t="s">
        <v>1281</v>
      </c>
      <c r="M494" s="16">
        <v>2125000</v>
      </c>
      <c r="N494" s="16">
        <v>0</v>
      </c>
      <c r="O494" s="16">
        <f t="shared" si="16"/>
        <v>4250000</v>
      </c>
      <c r="P494" s="14" t="s">
        <v>1282</v>
      </c>
    </row>
    <row r="495" spans="1:16" x14ac:dyDescent="0.3">
      <c r="A495" s="8" t="s">
        <v>728</v>
      </c>
      <c r="B495" s="9">
        <v>1651630</v>
      </c>
      <c r="C495" s="10" t="s">
        <v>873</v>
      </c>
      <c r="D495" s="11">
        <v>44008</v>
      </c>
      <c r="E495" s="11">
        <v>44013</v>
      </c>
      <c r="F495" s="31">
        <v>42500000</v>
      </c>
      <c r="G495" s="32">
        <v>0</v>
      </c>
      <c r="H495" s="8" t="s">
        <v>874</v>
      </c>
      <c r="I495" s="12">
        <v>900589666</v>
      </c>
      <c r="J495" s="13" t="s">
        <v>880</v>
      </c>
      <c r="K495" s="14">
        <v>2</v>
      </c>
      <c r="L495" s="15" t="s">
        <v>1281</v>
      </c>
      <c r="M495" s="16">
        <v>2125000</v>
      </c>
      <c r="N495" s="16">
        <v>0</v>
      </c>
      <c r="O495" s="16">
        <f t="shared" si="16"/>
        <v>4250000</v>
      </c>
      <c r="P495" s="14" t="s">
        <v>1282</v>
      </c>
    </row>
    <row r="496" spans="1:16" x14ac:dyDescent="0.3">
      <c r="A496" s="8" t="s">
        <v>728</v>
      </c>
      <c r="B496" s="9">
        <v>1651630</v>
      </c>
      <c r="C496" s="10" t="s">
        <v>873</v>
      </c>
      <c r="D496" s="11">
        <v>44008</v>
      </c>
      <c r="E496" s="11">
        <v>44013</v>
      </c>
      <c r="F496" s="31">
        <v>42500000</v>
      </c>
      <c r="G496" s="32">
        <v>0</v>
      </c>
      <c r="H496" s="8" t="s">
        <v>874</v>
      </c>
      <c r="I496" s="12">
        <v>900589666</v>
      </c>
      <c r="J496" s="13" t="s">
        <v>881</v>
      </c>
      <c r="K496" s="14">
        <v>2</v>
      </c>
      <c r="L496" s="15" t="s">
        <v>1281</v>
      </c>
      <c r="M496" s="16">
        <v>2125000</v>
      </c>
      <c r="N496" s="16">
        <v>0</v>
      </c>
      <c r="O496" s="16">
        <f t="shared" si="16"/>
        <v>4250000</v>
      </c>
      <c r="P496" s="14" t="s">
        <v>1282</v>
      </c>
    </row>
    <row r="497" spans="1:16" x14ac:dyDescent="0.3">
      <c r="A497" s="8" t="s">
        <v>728</v>
      </c>
      <c r="B497" s="9">
        <v>1651630</v>
      </c>
      <c r="C497" s="10" t="s">
        <v>873</v>
      </c>
      <c r="D497" s="11">
        <v>44008</v>
      </c>
      <c r="E497" s="11">
        <v>44013</v>
      </c>
      <c r="F497" s="31">
        <v>42500000</v>
      </c>
      <c r="G497" s="32">
        <v>0</v>
      </c>
      <c r="H497" s="8" t="s">
        <v>874</v>
      </c>
      <c r="I497" s="12">
        <v>900589666</v>
      </c>
      <c r="J497" s="13" t="s">
        <v>882</v>
      </c>
      <c r="K497" s="14">
        <v>2</v>
      </c>
      <c r="L497" s="15" t="s">
        <v>1281</v>
      </c>
      <c r="M497" s="16">
        <v>2125000</v>
      </c>
      <c r="N497" s="16">
        <v>0</v>
      </c>
      <c r="O497" s="16">
        <f t="shared" si="16"/>
        <v>4250000</v>
      </c>
      <c r="P497" s="14" t="s">
        <v>1282</v>
      </c>
    </row>
    <row r="498" spans="1:16" x14ac:dyDescent="0.3">
      <c r="A498" s="8" t="s">
        <v>728</v>
      </c>
      <c r="B498" s="9">
        <v>1651630</v>
      </c>
      <c r="C498" s="10" t="s">
        <v>873</v>
      </c>
      <c r="D498" s="11">
        <v>44008</v>
      </c>
      <c r="E498" s="11">
        <v>44013</v>
      </c>
      <c r="F498" s="31">
        <v>42500000</v>
      </c>
      <c r="G498" s="32">
        <v>0</v>
      </c>
      <c r="H498" s="8" t="s">
        <v>874</v>
      </c>
      <c r="I498" s="12">
        <v>900589666</v>
      </c>
      <c r="J498" s="13" t="s">
        <v>883</v>
      </c>
      <c r="K498" s="14">
        <v>2</v>
      </c>
      <c r="L498" s="15" t="s">
        <v>1281</v>
      </c>
      <c r="M498" s="16">
        <v>2125000</v>
      </c>
      <c r="N498" s="16">
        <v>0</v>
      </c>
      <c r="O498" s="16">
        <f t="shared" si="16"/>
        <v>4250000</v>
      </c>
      <c r="P498" s="14" t="s">
        <v>1282</v>
      </c>
    </row>
    <row r="499" spans="1:16" x14ac:dyDescent="0.3">
      <c r="A499" s="8" t="s">
        <v>728</v>
      </c>
      <c r="B499" s="9">
        <v>1651630</v>
      </c>
      <c r="C499" s="10" t="s">
        <v>873</v>
      </c>
      <c r="D499" s="11">
        <v>44008</v>
      </c>
      <c r="E499" s="11">
        <v>44013</v>
      </c>
      <c r="F499" s="31">
        <v>42500000</v>
      </c>
      <c r="G499" s="32">
        <v>0</v>
      </c>
      <c r="H499" s="8" t="s">
        <v>874</v>
      </c>
      <c r="I499" s="12">
        <v>900589666</v>
      </c>
      <c r="J499" s="13" t="s">
        <v>884</v>
      </c>
      <c r="K499" s="14">
        <v>2</v>
      </c>
      <c r="L499" s="15" t="s">
        <v>1281</v>
      </c>
      <c r="M499" s="16">
        <v>2125000</v>
      </c>
      <c r="N499" s="16">
        <v>0</v>
      </c>
      <c r="O499" s="16">
        <f t="shared" si="16"/>
        <v>4250000</v>
      </c>
      <c r="P499" s="14" t="s">
        <v>1282</v>
      </c>
    </row>
    <row r="500" spans="1:16" x14ac:dyDescent="0.3">
      <c r="A500" s="8" t="s">
        <v>1231</v>
      </c>
      <c r="B500" s="9" t="s">
        <v>1232</v>
      </c>
      <c r="C500" s="17" t="s">
        <v>1233</v>
      </c>
      <c r="D500" s="11">
        <v>43915</v>
      </c>
      <c r="E500" s="11">
        <v>43916</v>
      </c>
      <c r="F500" s="31">
        <v>79231499</v>
      </c>
      <c r="G500" s="32">
        <v>0</v>
      </c>
      <c r="H500" s="8" t="s">
        <v>1234</v>
      </c>
      <c r="I500" s="12">
        <v>900916649</v>
      </c>
      <c r="J500" s="13" t="s">
        <v>1415</v>
      </c>
      <c r="K500" s="14">
        <f>300*50</f>
        <v>15000</v>
      </c>
      <c r="L500" s="15" t="s">
        <v>250</v>
      </c>
      <c r="M500" s="16">
        <f>80000/50</f>
        <v>1600</v>
      </c>
      <c r="N500" s="16">
        <v>0</v>
      </c>
      <c r="O500" s="16">
        <f t="shared" si="16"/>
        <v>24000000</v>
      </c>
      <c r="P500" s="14" t="s">
        <v>95</v>
      </c>
    </row>
    <row r="501" spans="1:16" x14ac:dyDescent="0.3">
      <c r="A501" s="8" t="s">
        <v>1231</v>
      </c>
      <c r="B501" s="9" t="s">
        <v>1232</v>
      </c>
      <c r="C501" s="17" t="s">
        <v>1233</v>
      </c>
      <c r="D501" s="11">
        <v>43915</v>
      </c>
      <c r="E501" s="11">
        <v>43916</v>
      </c>
      <c r="F501" s="31">
        <v>79231499</v>
      </c>
      <c r="G501" s="32">
        <v>0</v>
      </c>
      <c r="H501" s="8" t="s">
        <v>1234</v>
      </c>
      <c r="I501" s="12">
        <v>900916649</v>
      </c>
      <c r="J501" s="13" t="s">
        <v>1421</v>
      </c>
      <c r="K501" s="14">
        <v>200</v>
      </c>
      <c r="L501" s="15" t="s">
        <v>250</v>
      </c>
      <c r="M501" s="16">
        <f>900000/50</f>
        <v>18000</v>
      </c>
      <c r="N501" s="16">
        <v>0</v>
      </c>
      <c r="O501" s="16">
        <f t="shared" si="16"/>
        <v>3600000</v>
      </c>
      <c r="P501" s="14" t="s">
        <v>95</v>
      </c>
    </row>
    <row r="502" spans="1:16" x14ac:dyDescent="0.3">
      <c r="A502" s="8" t="s">
        <v>1231</v>
      </c>
      <c r="B502" s="9" t="s">
        <v>1232</v>
      </c>
      <c r="C502" s="17" t="s">
        <v>1233</v>
      </c>
      <c r="D502" s="11">
        <v>43915</v>
      </c>
      <c r="E502" s="11">
        <v>43916</v>
      </c>
      <c r="F502" s="31">
        <v>79231499</v>
      </c>
      <c r="G502" s="32">
        <v>0</v>
      </c>
      <c r="H502" s="8" t="s">
        <v>1234</v>
      </c>
      <c r="I502" s="12">
        <v>900916649</v>
      </c>
      <c r="J502" s="13" t="s">
        <v>351</v>
      </c>
      <c r="K502" s="14">
        <v>150</v>
      </c>
      <c r="L502" s="18" t="s">
        <v>531</v>
      </c>
      <c r="M502" s="16">
        <v>35000</v>
      </c>
      <c r="N502" s="16">
        <v>0</v>
      </c>
      <c r="O502" s="16">
        <f t="shared" si="16"/>
        <v>5250000</v>
      </c>
      <c r="P502" s="19" t="s">
        <v>59</v>
      </c>
    </row>
    <row r="503" spans="1:16" x14ac:dyDescent="0.3">
      <c r="A503" s="8" t="s">
        <v>1231</v>
      </c>
      <c r="B503" s="9" t="s">
        <v>1232</v>
      </c>
      <c r="C503" s="17" t="s">
        <v>1233</v>
      </c>
      <c r="D503" s="11">
        <v>43915</v>
      </c>
      <c r="E503" s="11">
        <v>43916</v>
      </c>
      <c r="F503" s="31">
        <v>79231499</v>
      </c>
      <c r="G503" s="32">
        <v>0</v>
      </c>
      <c r="H503" s="8" t="s">
        <v>1234</v>
      </c>
      <c r="I503" s="12">
        <v>900916649</v>
      </c>
      <c r="J503" s="13" t="s">
        <v>1486</v>
      </c>
      <c r="K503" s="14">
        <v>1000</v>
      </c>
      <c r="L503" s="18" t="s">
        <v>172</v>
      </c>
      <c r="M503" s="16">
        <v>8000</v>
      </c>
      <c r="N503" s="16">
        <v>0</v>
      </c>
      <c r="O503" s="16">
        <f t="shared" si="16"/>
        <v>8000000</v>
      </c>
      <c r="P503" s="19" t="s">
        <v>36</v>
      </c>
    </row>
    <row r="504" spans="1:16" x14ac:dyDescent="0.3">
      <c r="A504" s="8" t="s">
        <v>1231</v>
      </c>
      <c r="B504" s="9" t="s">
        <v>1232</v>
      </c>
      <c r="C504" s="17" t="s">
        <v>1233</v>
      </c>
      <c r="D504" s="11">
        <v>43915</v>
      </c>
      <c r="E504" s="11">
        <v>43916</v>
      </c>
      <c r="F504" s="31">
        <v>79231499</v>
      </c>
      <c r="G504" s="32">
        <v>0</v>
      </c>
      <c r="H504" s="8" t="s">
        <v>1234</v>
      </c>
      <c r="I504" s="12">
        <v>900916649</v>
      </c>
      <c r="J504" s="13" t="s">
        <v>1441</v>
      </c>
      <c r="K504" s="24">
        <v>456</v>
      </c>
      <c r="L504" s="18" t="s">
        <v>172</v>
      </c>
      <c r="M504" s="16">
        <v>26315.789473600002</v>
      </c>
      <c r="N504" s="16">
        <v>0</v>
      </c>
      <c r="O504" s="16">
        <f t="shared" si="16"/>
        <v>11999999.999961602</v>
      </c>
      <c r="P504" s="14" t="s">
        <v>34</v>
      </c>
    </row>
    <row r="505" spans="1:16" x14ac:dyDescent="0.3">
      <c r="A505" s="8" t="s">
        <v>1231</v>
      </c>
      <c r="B505" s="9" t="s">
        <v>1232</v>
      </c>
      <c r="C505" s="17" t="s">
        <v>1233</v>
      </c>
      <c r="D505" s="11">
        <v>43915</v>
      </c>
      <c r="E505" s="11">
        <v>43916</v>
      </c>
      <c r="F505" s="31">
        <v>79231499</v>
      </c>
      <c r="G505" s="32">
        <v>0</v>
      </c>
      <c r="H505" s="8" t="s">
        <v>1234</v>
      </c>
      <c r="I505" s="12">
        <v>900916649</v>
      </c>
      <c r="J505" s="13" t="s">
        <v>1235</v>
      </c>
      <c r="K505" s="14">
        <v>800</v>
      </c>
      <c r="L505" s="18" t="s">
        <v>1277</v>
      </c>
      <c r="M505" s="16">
        <v>13000</v>
      </c>
      <c r="N505" s="16">
        <v>0</v>
      </c>
      <c r="O505" s="16">
        <f t="shared" si="16"/>
        <v>10400000</v>
      </c>
      <c r="P505" s="14" t="s">
        <v>94</v>
      </c>
    </row>
    <row r="506" spans="1:16" x14ac:dyDescent="0.3">
      <c r="A506" s="8" t="s">
        <v>1231</v>
      </c>
      <c r="B506" s="9" t="s">
        <v>1232</v>
      </c>
      <c r="C506" s="17" t="s">
        <v>1233</v>
      </c>
      <c r="D506" s="11">
        <v>43915</v>
      </c>
      <c r="E506" s="11">
        <v>43916</v>
      </c>
      <c r="F506" s="31">
        <v>79231499</v>
      </c>
      <c r="G506" s="32">
        <v>0</v>
      </c>
      <c r="H506" s="8" t="s">
        <v>1234</v>
      </c>
      <c r="I506" s="12">
        <v>900916649</v>
      </c>
      <c r="J506" s="13" t="s">
        <v>1236</v>
      </c>
      <c r="K506" s="14">
        <v>37</v>
      </c>
      <c r="L506" s="15" t="s">
        <v>250</v>
      </c>
      <c r="M506" s="16">
        <v>157563</v>
      </c>
      <c r="N506" s="16">
        <f>M506*0.19</f>
        <v>29936.97</v>
      </c>
      <c r="O506" s="16">
        <f t="shared" si="16"/>
        <v>6937498.8899999997</v>
      </c>
      <c r="P506" s="14" t="s">
        <v>1383</v>
      </c>
    </row>
    <row r="507" spans="1:16" x14ac:dyDescent="0.3">
      <c r="A507" s="8" t="s">
        <v>1231</v>
      </c>
      <c r="B507" s="9" t="s">
        <v>1232</v>
      </c>
      <c r="C507" s="17" t="s">
        <v>1233</v>
      </c>
      <c r="D507" s="11">
        <v>43915</v>
      </c>
      <c r="E507" s="11">
        <v>43916</v>
      </c>
      <c r="F507" s="31">
        <v>79231499</v>
      </c>
      <c r="G507" s="32">
        <v>0</v>
      </c>
      <c r="H507" s="8" t="s">
        <v>1234</v>
      </c>
      <c r="I507" s="12">
        <v>900916649</v>
      </c>
      <c r="J507" s="13" t="s">
        <v>1237</v>
      </c>
      <c r="K507" s="14">
        <v>50</v>
      </c>
      <c r="L507" s="15" t="s">
        <v>250</v>
      </c>
      <c r="M507" s="16">
        <v>87500</v>
      </c>
      <c r="N507" s="16">
        <f>M507*0.19</f>
        <v>16625</v>
      </c>
      <c r="O507" s="16">
        <f t="shared" si="16"/>
        <v>5206250</v>
      </c>
      <c r="P507" s="14" t="s">
        <v>1383</v>
      </c>
    </row>
    <row r="508" spans="1:16" x14ac:dyDescent="0.3">
      <c r="A508" s="8" t="s">
        <v>1231</v>
      </c>
      <c r="B508" s="9" t="s">
        <v>1232</v>
      </c>
      <c r="C508" s="17" t="s">
        <v>1233</v>
      </c>
      <c r="D508" s="11">
        <v>43915</v>
      </c>
      <c r="E508" s="11">
        <v>43916</v>
      </c>
      <c r="F508" s="31">
        <v>79231499</v>
      </c>
      <c r="G508" s="32">
        <v>0</v>
      </c>
      <c r="H508" s="8" t="s">
        <v>1234</v>
      </c>
      <c r="I508" s="12">
        <v>900916649</v>
      </c>
      <c r="J508" s="13" t="s">
        <v>1238</v>
      </c>
      <c r="K508" s="14">
        <v>100</v>
      </c>
      <c r="L508" s="15" t="s">
        <v>250</v>
      </c>
      <c r="M508" s="16">
        <v>21000</v>
      </c>
      <c r="N508" s="16">
        <f>M508*0.19</f>
        <v>3990</v>
      </c>
      <c r="O508" s="16">
        <f t="shared" si="16"/>
        <v>2499000</v>
      </c>
      <c r="P508" s="19" t="s">
        <v>21</v>
      </c>
    </row>
    <row r="509" spans="1:16" x14ac:dyDescent="0.3">
      <c r="A509" s="8" t="s">
        <v>1231</v>
      </c>
      <c r="B509" s="9" t="s">
        <v>1232</v>
      </c>
      <c r="C509" s="17" t="s">
        <v>1233</v>
      </c>
      <c r="D509" s="11">
        <v>43915</v>
      </c>
      <c r="E509" s="11">
        <v>43916</v>
      </c>
      <c r="F509" s="31">
        <v>79231499</v>
      </c>
      <c r="G509" s="32">
        <v>0</v>
      </c>
      <c r="H509" s="8" t="s">
        <v>1234</v>
      </c>
      <c r="I509" s="12">
        <v>900916649</v>
      </c>
      <c r="J509" s="13" t="s">
        <v>1239</v>
      </c>
      <c r="K509" s="14">
        <v>100</v>
      </c>
      <c r="L509" s="15" t="s">
        <v>1250</v>
      </c>
      <c r="M509" s="16">
        <v>11250</v>
      </c>
      <c r="N509" s="16">
        <f>M509*0.19</f>
        <v>2137.5</v>
      </c>
      <c r="O509" s="16">
        <f t="shared" si="16"/>
        <v>1338750</v>
      </c>
      <c r="P509" s="19" t="s">
        <v>1389</v>
      </c>
    </row>
    <row r="510" spans="1:16" x14ac:dyDescent="0.3">
      <c r="A510" s="8" t="s">
        <v>1231</v>
      </c>
      <c r="B510" s="9" t="s">
        <v>1240</v>
      </c>
      <c r="C510" s="17" t="s">
        <v>1241</v>
      </c>
      <c r="D510" s="11">
        <v>43915</v>
      </c>
      <c r="E510" s="11">
        <v>43921</v>
      </c>
      <c r="F510" s="31">
        <v>55131040</v>
      </c>
      <c r="G510" s="32">
        <v>0</v>
      </c>
      <c r="H510" s="8" t="s">
        <v>1242</v>
      </c>
      <c r="I510" s="12">
        <v>900885138</v>
      </c>
      <c r="J510" s="13" t="s">
        <v>1243</v>
      </c>
      <c r="K510" s="14">
        <v>235</v>
      </c>
      <c r="L510" s="15" t="s">
        <v>250</v>
      </c>
      <c r="M510" s="16">
        <v>171600</v>
      </c>
      <c r="N510" s="16">
        <v>0</v>
      </c>
      <c r="O510" s="16">
        <f t="shared" si="16"/>
        <v>40326000</v>
      </c>
      <c r="P510" s="19" t="s">
        <v>162</v>
      </c>
    </row>
    <row r="511" spans="1:16" x14ac:dyDescent="0.3">
      <c r="A511" s="8" t="s">
        <v>1231</v>
      </c>
      <c r="B511" s="9" t="s">
        <v>1240</v>
      </c>
      <c r="C511" s="17" t="s">
        <v>1241</v>
      </c>
      <c r="D511" s="11">
        <v>43915</v>
      </c>
      <c r="E511" s="11">
        <v>43921</v>
      </c>
      <c r="F511" s="31">
        <v>55131040</v>
      </c>
      <c r="G511" s="32">
        <v>0</v>
      </c>
      <c r="H511" s="8" t="s">
        <v>1242</v>
      </c>
      <c r="I511" s="12">
        <v>900885138</v>
      </c>
      <c r="J511" s="13" t="s">
        <v>1244</v>
      </c>
      <c r="K511" s="14">
        <v>235</v>
      </c>
      <c r="L511" s="15" t="s">
        <v>250</v>
      </c>
      <c r="M511" s="16">
        <v>63000</v>
      </c>
      <c r="N511" s="16">
        <v>0</v>
      </c>
      <c r="O511" s="16">
        <f t="shared" ref="O511:O574" si="17">K511*(M511+N511)</f>
        <v>14805000</v>
      </c>
      <c r="P511" s="19" t="s">
        <v>164</v>
      </c>
    </row>
    <row r="512" spans="1:16" x14ac:dyDescent="0.3">
      <c r="A512" s="8" t="s">
        <v>885</v>
      </c>
      <c r="B512" s="9" t="s">
        <v>886</v>
      </c>
      <c r="C512" s="17" t="s">
        <v>887</v>
      </c>
      <c r="D512" s="11">
        <v>43994</v>
      </c>
      <c r="E512" s="11">
        <v>43999</v>
      </c>
      <c r="F512" s="31">
        <v>32430000</v>
      </c>
      <c r="G512" s="32">
        <v>0</v>
      </c>
      <c r="H512" s="8" t="s">
        <v>888</v>
      </c>
      <c r="I512" s="12">
        <v>891500595</v>
      </c>
      <c r="J512" s="13" t="s">
        <v>889</v>
      </c>
      <c r="K512" s="14">
        <v>15</v>
      </c>
      <c r="L512" s="15" t="s">
        <v>1281</v>
      </c>
      <c r="M512" s="16">
        <v>2162000</v>
      </c>
      <c r="N512" s="16">
        <v>0</v>
      </c>
      <c r="O512" s="16">
        <f t="shared" si="17"/>
        <v>32430000</v>
      </c>
      <c r="P512" s="19" t="s">
        <v>1282</v>
      </c>
    </row>
    <row r="513" spans="1:16" x14ac:dyDescent="0.3">
      <c r="A513" s="8" t="s">
        <v>885</v>
      </c>
      <c r="B513" s="9" t="s">
        <v>890</v>
      </c>
      <c r="C513" s="17" t="s">
        <v>891</v>
      </c>
      <c r="D513" s="11">
        <v>43994</v>
      </c>
      <c r="E513" s="11">
        <v>43994</v>
      </c>
      <c r="F513" s="31">
        <v>45932000</v>
      </c>
      <c r="G513" s="32">
        <v>0</v>
      </c>
      <c r="H513" s="8" t="s">
        <v>892</v>
      </c>
      <c r="I513" s="12">
        <v>1083893865</v>
      </c>
      <c r="J513" s="13" t="s">
        <v>893</v>
      </c>
      <c r="K513" s="14">
        <v>119</v>
      </c>
      <c r="L513" s="15" t="s">
        <v>250</v>
      </c>
      <c r="M513" s="16">
        <v>124369.74789915967</v>
      </c>
      <c r="N513" s="16">
        <f>M513*0.19</f>
        <v>23630.252100840338</v>
      </c>
      <c r="O513" s="16">
        <f t="shared" si="17"/>
        <v>17612000</v>
      </c>
      <c r="P513" s="19" t="s">
        <v>164</v>
      </c>
    </row>
    <row r="514" spans="1:16" x14ac:dyDescent="0.3">
      <c r="A514" s="8" t="s">
        <v>885</v>
      </c>
      <c r="B514" s="9" t="s">
        <v>890</v>
      </c>
      <c r="C514" s="17" t="s">
        <v>891</v>
      </c>
      <c r="D514" s="11">
        <v>43994</v>
      </c>
      <c r="E514" s="11">
        <v>43994</v>
      </c>
      <c r="F514" s="31">
        <v>45932000</v>
      </c>
      <c r="G514" s="32">
        <v>0</v>
      </c>
      <c r="H514" s="8" t="s">
        <v>892</v>
      </c>
      <c r="I514" s="12">
        <v>1083893865</v>
      </c>
      <c r="J514" s="13" t="s">
        <v>894</v>
      </c>
      <c r="K514" s="14">
        <v>118</v>
      </c>
      <c r="L514" s="15" t="s">
        <v>250</v>
      </c>
      <c r="M514" s="16">
        <v>201680.67226890757</v>
      </c>
      <c r="N514" s="16">
        <f>M514*0.19</f>
        <v>38319.327731092439</v>
      </c>
      <c r="O514" s="16">
        <f t="shared" si="17"/>
        <v>28320000</v>
      </c>
      <c r="P514" s="19" t="s">
        <v>162</v>
      </c>
    </row>
    <row r="515" spans="1:16" x14ac:dyDescent="0.3">
      <c r="A515" s="8" t="s">
        <v>885</v>
      </c>
      <c r="B515" s="9" t="s">
        <v>895</v>
      </c>
      <c r="C515" s="17" t="s">
        <v>896</v>
      </c>
      <c r="D515" s="11">
        <v>44005</v>
      </c>
      <c r="E515" s="11">
        <v>44005</v>
      </c>
      <c r="F515" s="31">
        <v>7000000</v>
      </c>
      <c r="G515" s="32">
        <v>0</v>
      </c>
      <c r="H515" s="8" t="s">
        <v>897</v>
      </c>
      <c r="I515" s="12">
        <v>800165853</v>
      </c>
      <c r="J515" s="13" t="s">
        <v>196</v>
      </c>
      <c r="K515" s="14">
        <v>80</v>
      </c>
      <c r="L515" s="15" t="s">
        <v>250</v>
      </c>
      <c r="M515" s="16">
        <v>40500</v>
      </c>
      <c r="N515" s="16">
        <v>0</v>
      </c>
      <c r="O515" s="16">
        <f t="shared" si="17"/>
        <v>3240000</v>
      </c>
      <c r="P515" s="19" t="s">
        <v>196</v>
      </c>
    </row>
    <row r="516" spans="1:16" x14ac:dyDescent="0.3">
      <c r="A516" s="8" t="s">
        <v>885</v>
      </c>
      <c r="B516" s="9" t="s">
        <v>895</v>
      </c>
      <c r="C516" s="17" t="s">
        <v>896</v>
      </c>
      <c r="D516" s="11">
        <v>44005</v>
      </c>
      <c r="E516" s="11">
        <v>44005</v>
      </c>
      <c r="F516" s="31">
        <v>7000000</v>
      </c>
      <c r="G516" s="32">
        <v>0</v>
      </c>
      <c r="H516" s="8" t="s">
        <v>897</v>
      </c>
      <c r="I516" s="12">
        <v>800165853</v>
      </c>
      <c r="J516" s="13" t="s">
        <v>898</v>
      </c>
      <c r="K516" s="14">
        <v>800</v>
      </c>
      <c r="L516" s="15" t="s">
        <v>172</v>
      </c>
      <c r="M516" s="16">
        <v>4700</v>
      </c>
      <c r="N516" s="16">
        <v>0</v>
      </c>
      <c r="O516" s="16">
        <f t="shared" si="17"/>
        <v>3760000</v>
      </c>
      <c r="P516" s="19" t="s">
        <v>643</v>
      </c>
    </row>
    <row r="517" spans="1:16" x14ac:dyDescent="0.3">
      <c r="A517" s="8" t="s">
        <v>885</v>
      </c>
      <c r="B517" s="9" t="s">
        <v>899</v>
      </c>
      <c r="C517" s="17" t="s">
        <v>900</v>
      </c>
      <c r="D517" s="11">
        <v>44005</v>
      </c>
      <c r="E517" s="11">
        <v>44005</v>
      </c>
      <c r="F517" s="31">
        <v>32130000</v>
      </c>
      <c r="G517" s="32">
        <v>0</v>
      </c>
      <c r="H517" s="8" t="s">
        <v>901</v>
      </c>
      <c r="I517" s="12">
        <v>79391917</v>
      </c>
      <c r="J517" s="13" t="s">
        <v>902</v>
      </c>
      <c r="K517" s="14">
        <v>200</v>
      </c>
      <c r="L517" s="15" t="s">
        <v>250</v>
      </c>
      <c r="M517" s="16">
        <v>135000</v>
      </c>
      <c r="N517" s="16">
        <f>M517*0.19</f>
        <v>25650</v>
      </c>
      <c r="O517" s="16">
        <f t="shared" si="17"/>
        <v>32130000</v>
      </c>
      <c r="P517" s="14" t="s">
        <v>1285</v>
      </c>
    </row>
    <row r="518" spans="1:16" x14ac:dyDescent="0.3">
      <c r="A518" s="8" t="s">
        <v>885</v>
      </c>
      <c r="B518" s="9" t="s">
        <v>903</v>
      </c>
      <c r="C518" s="17" t="s">
        <v>904</v>
      </c>
      <c r="D518" s="11">
        <v>44001</v>
      </c>
      <c r="E518" s="11">
        <v>44001</v>
      </c>
      <c r="F518" s="31">
        <v>1515800</v>
      </c>
      <c r="G518" s="32">
        <v>0</v>
      </c>
      <c r="H518" s="8" t="s">
        <v>905</v>
      </c>
      <c r="I518" s="12">
        <v>76318532</v>
      </c>
      <c r="J518" s="13" t="s">
        <v>906</v>
      </c>
      <c r="K518" s="14">
        <v>332</v>
      </c>
      <c r="L518" s="15" t="s">
        <v>250</v>
      </c>
      <c r="M518" s="16">
        <v>1400</v>
      </c>
      <c r="N518" s="16">
        <v>0</v>
      </c>
      <c r="O518" s="16">
        <f t="shared" si="17"/>
        <v>464800</v>
      </c>
      <c r="P518" s="19" t="s">
        <v>237</v>
      </c>
    </row>
    <row r="519" spans="1:16" x14ac:dyDescent="0.3">
      <c r="A519" s="8" t="s">
        <v>885</v>
      </c>
      <c r="B519" s="9" t="s">
        <v>903</v>
      </c>
      <c r="C519" s="17" t="s">
        <v>904</v>
      </c>
      <c r="D519" s="11">
        <v>44001</v>
      </c>
      <c r="E519" s="11">
        <v>44001</v>
      </c>
      <c r="F519" s="31">
        <v>1515800</v>
      </c>
      <c r="G519" s="32">
        <v>0</v>
      </c>
      <c r="H519" s="8" t="s">
        <v>905</v>
      </c>
      <c r="I519" s="12">
        <v>76318532</v>
      </c>
      <c r="J519" s="13" t="s">
        <v>907</v>
      </c>
      <c r="K519" s="14">
        <v>106</v>
      </c>
      <c r="L519" s="15" t="s">
        <v>250</v>
      </c>
      <c r="M519" s="16">
        <v>1896.2264150943399</v>
      </c>
      <c r="N519" s="16">
        <v>0</v>
      </c>
      <c r="O519" s="16">
        <f t="shared" si="17"/>
        <v>201000.00000000003</v>
      </c>
      <c r="P519" s="19" t="s">
        <v>237</v>
      </c>
    </row>
    <row r="520" spans="1:16" x14ac:dyDescent="0.3">
      <c r="A520" s="8" t="s">
        <v>885</v>
      </c>
      <c r="B520" s="9" t="s">
        <v>903</v>
      </c>
      <c r="C520" s="17" t="s">
        <v>904</v>
      </c>
      <c r="D520" s="11">
        <v>44001</v>
      </c>
      <c r="E520" s="11">
        <v>44001</v>
      </c>
      <c r="F520" s="31">
        <v>1515800</v>
      </c>
      <c r="G520" s="32">
        <v>0</v>
      </c>
      <c r="H520" s="8" t="s">
        <v>905</v>
      </c>
      <c r="I520" s="12">
        <v>76318532</v>
      </c>
      <c r="J520" s="13" t="s">
        <v>908</v>
      </c>
      <c r="K520" s="14">
        <v>500</v>
      </c>
      <c r="L520" s="15" t="s">
        <v>250</v>
      </c>
      <c r="M520" s="16">
        <v>1700</v>
      </c>
      <c r="N520" s="16">
        <v>0</v>
      </c>
      <c r="O520" s="16">
        <f t="shared" si="17"/>
        <v>850000</v>
      </c>
      <c r="P520" s="19" t="s">
        <v>237</v>
      </c>
    </row>
    <row r="521" spans="1:16" x14ac:dyDescent="0.3">
      <c r="A521" s="8" t="s">
        <v>885</v>
      </c>
      <c r="B521" s="9" t="s">
        <v>909</v>
      </c>
      <c r="C521" s="17" t="s">
        <v>910</v>
      </c>
      <c r="D521" s="11">
        <v>43917</v>
      </c>
      <c r="E521" s="11">
        <v>43910</v>
      </c>
      <c r="F521" s="31">
        <v>1911550</v>
      </c>
      <c r="G521" s="32">
        <v>0</v>
      </c>
      <c r="H521" s="8" t="s">
        <v>911</v>
      </c>
      <c r="I521" s="12">
        <v>12109146</v>
      </c>
      <c r="J521" s="13" t="s">
        <v>1487</v>
      </c>
      <c r="K521" s="14">
        <v>36</v>
      </c>
      <c r="L521" s="18" t="s">
        <v>172</v>
      </c>
      <c r="M521" s="16">
        <f>(31600/1.19)/4</f>
        <v>6638.6554621848745</v>
      </c>
      <c r="N521" s="16">
        <f t="shared" ref="N521:N526" si="18">M521*0.19</f>
        <v>1261.3445378151262</v>
      </c>
      <c r="O521" s="16">
        <f t="shared" si="17"/>
        <v>284400.00000000006</v>
      </c>
      <c r="P521" s="19" t="s">
        <v>36</v>
      </c>
    </row>
    <row r="522" spans="1:16" x14ac:dyDescent="0.3">
      <c r="A522" s="8" t="s">
        <v>885</v>
      </c>
      <c r="B522" s="9" t="s">
        <v>909</v>
      </c>
      <c r="C522" s="17" t="s">
        <v>910</v>
      </c>
      <c r="D522" s="11">
        <v>43917</v>
      </c>
      <c r="E522" s="11">
        <v>43910</v>
      </c>
      <c r="F522" s="31">
        <v>1911550</v>
      </c>
      <c r="G522" s="32">
        <v>0</v>
      </c>
      <c r="H522" s="8" t="s">
        <v>911</v>
      </c>
      <c r="I522" s="12">
        <v>12109146</v>
      </c>
      <c r="J522" s="13" t="s">
        <v>912</v>
      </c>
      <c r="K522" s="14">
        <v>3</v>
      </c>
      <c r="L522" s="15" t="s">
        <v>250</v>
      </c>
      <c r="M522" s="16">
        <v>62899.159663865546</v>
      </c>
      <c r="N522" s="16">
        <f t="shared" si="18"/>
        <v>11950.840336134454</v>
      </c>
      <c r="O522" s="16">
        <f t="shared" si="17"/>
        <v>224550</v>
      </c>
      <c r="P522" s="14" t="s">
        <v>1383</v>
      </c>
    </row>
    <row r="523" spans="1:16" x14ac:dyDescent="0.3">
      <c r="A523" s="8" t="s">
        <v>885</v>
      </c>
      <c r="B523" s="9" t="s">
        <v>909</v>
      </c>
      <c r="C523" s="17" t="s">
        <v>910</v>
      </c>
      <c r="D523" s="11">
        <v>43917</v>
      </c>
      <c r="E523" s="11">
        <v>43910</v>
      </c>
      <c r="F523" s="31">
        <v>1911550</v>
      </c>
      <c r="G523" s="32">
        <v>0</v>
      </c>
      <c r="H523" s="8" t="s">
        <v>911</v>
      </c>
      <c r="I523" s="12">
        <v>12109146</v>
      </c>
      <c r="J523" s="13" t="s">
        <v>1488</v>
      </c>
      <c r="K523" s="14">
        <v>3</v>
      </c>
      <c r="L523" s="18" t="s">
        <v>172</v>
      </c>
      <c r="M523" s="16">
        <v>41176.470588235294</v>
      </c>
      <c r="N523" s="16">
        <f t="shared" si="18"/>
        <v>7823.5294117647063</v>
      </c>
      <c r="O523" s="16">
        <f t="shared" si="17"/>
        <v>147000</v>
      </c>
      <c r="P523" s="19" t="s">
        <v>36</v>
      </c>
    </row>
    <row r="524" spans="1:16" x14ac:dyDescent="0.3">
      <c r="A524" s="8" t="s">
        <v>885</v>
      </c>
      <c r="B524" s="9" t="s">
        <v>909</v>
      </c>
      <c r="C524" s="17" t="s">
        <v>910</v>
      </c>
      <c r="D524" s="11">
        <v>43917</v>
      </c>
      <c r="E524" s="11">
        <v>43910</v>
      </c>
      <c r="F524" s="31">
        <v>1911550</v>
      </c>
      <c r="G524" s="32">
        <v>0</v>
      </c>
      <c r="H524" s="8" t="s">
        <v>911</v>
      </c>
      <c r="I524" s="12">
        <v>12109146</v>
      </c>
      <c r="J524" s="13" t="s">
        <v>913</v>
      </c>
      <c r="K524" s="14">
        <v>50</v>
      </c>
      <c r="L524" s="15" t="s">
        <v>531</v>
      </c>
      <c r="M524" s="16">
        <v>15966.6</v>
      </c>
      <c r="N524" s="16">
        <f t="shared" si="18"/>
        <v>3033.654</v>
      </c>
      <c r="O524" s="16">
        <f t="shared" si="17"/>
        <v>950012.70000000007</v>
      </c>
      <c r="P524" s="19" t="s">
        <v>23</v>
      </c>
    </row>
    <row r="525" spans="1:16" x14ac:dyDescent="0.3">
      <c r="A525" s="8" t="s">
        <v>885</v>
      </c>
      <c r="B525" s="9" t="s">
        <v>909</v>
      </c>
      <c r="C525" s="17" t="s">
        <v>910</v>
      </c>
      <c r="D525" s="11">
        <v>43917</v>
      </c>
      <c r="E525" s="11">
        <v>43910</v>
      </c>
      <c r="F525" s="31">
        <v>1911550</v>
      </c>
      <c r="G525" s="32">
        <v>0</v>
      </c>
      <c r="H525" s="8" t="s">
        <v>911</v>
      </c>
      <c r="I525" s="12">
        <v>12109146</v>
      </c>
      <c r="J525" s="13" t="s">
        <v>914</v>
      </c>
      <c r="K525" s="14">
        <v>10</v>
      </c>
      <c r="L525" s="15" t="s">
        <v>531</v>
      </c>
      <c r="M525" s="16">
        <v>15966.6</v>
      </c>
      <c r="N525" s="16">
        <f t="shared" si="18"/>
        <v>3033.654</v>
      </c>
      <c r="O525" s="16">
        <f t="shared" si="17"/>
        <v>190002.54</v>
      </c>
      <c r="P525" s="19" t="s">
        <v>23</v>
      </c>
    </row>
    <row r="526" spans="1:16" x14ac:dyDescent="0.3">
      <c r="A526" s="8" t="s">
        <v>885</v>
      </c>
      <c r="B526" s="9" t="s">
        <v>909</v>
      </c>
      <c r="C526" s="17" t="s">
        <v>910</v>
      </c>
      <c r="D526" s="11">
        <v>43917</v>
      </c>
      <c r="E526" s="11">
        <v>43910</v>
      </c>
      <c r="F526" s="31">
        <v>1911550</v>
      </c>
      <c r="G526" s="32">
        <v>0</v>
      </c>
      <c r="H526" s="8" t="s">
        <v>911</v>
      </c>
      <c r="I526" s="12">
        <v>12109146</v>
      </c>
      <c r="J526" s="13" t="s">
        <v>1489</v>
      </c>
      <c r="K526" s="14">
        <v>8</v>
      </c>
      <c r="L526" s="18" t="s">
        <v>172</v>
      </c>
      <c r="M526" s="16">
        <f>24285.7142857143/2</f>
        <v>12142.85714285715</v>
      </c>
      <c r="N526" s="16">
        <f t="shared" si="18"/>
        <v>2307.1428571428587</v>
      </c>
      <c r="O526" s="16">
        <f t="shared" si="17"/>
        <v>115600.00000000007</v>
      </c>
      <c r="P526" s="19" t="s">
        <v>36</v>
      </c>
    </row>
    <row r="527" spans="1:16" x14ac:dyDescent="0.3">
      <c r="A527" s="8" t="s">
        <v>885</v>
      </c>
      <c r="B527" s="9" t="s">
        <v>915</v>
      </c>
      <c r="C527" s="17" t="s">
        <v>916</v>
      </c>
      <c r="D527" s="11">
        <v>43917</v>
      </c>
      <c r="E527" s="11">
        <v>43917</v>
      </c>
      <c r="F527" s="31">
        <v>1832949</v>
      </c>
      <c r="G527" s="32">
        <v>0</v>
      </c>
      <c r="H527" s="8" t="s">
        <v>917</v>
      </c>
      <c r="I527" s="12">
        <v>815004985</v>
      </c>
      <c r="J527" s="13" t="s">
        <v>918</v>
      </c>
      <c r="K527" s="14">
        <v>21</v>
      </c>
      <c r="L527" s="15" t="s">
        <v>531</v>
      </c>
      <c r="M527" s="16">
        <v>20276</v>
      </c>
      <c r="N527" s="16">
        <v>0</v>
      </c>
      <c r="O527" s="16">
        <f t="shared" si="17"/>
        <v>425796</v>
      </c>
      <c r="P527" s="19" t="s">
        <v>23</v>
      </c>
    </row>
    <row r="528" spans="1:16" x14ac:dyDescent="0.3">
      <c r="A528" s="8" t="s">
        <v>885</v>
      </c>
      <c r="B528" s="9" t="s">
        <v>915</v>
      </c>
      <c r="C528" s="17" t="s">
        <v>916</v>
      </c>
      <c r="D528" s="11">
        <v>43917</v>
      </c>
      <c r="E528" s="11">
        <v>43917</v>
      </c>
      <c r="F528" s="31">
        <v>1832949</v>
      </c>
      <c r="G528" s="32">
        <v>0</v>
      </c>
      <c r="H528" s="8" t="s">
        <v>917</v>
      </c>
      <c r="I528" s="12">
        <v>815004985</v>
      </c>
      <c r="J528" s="13" t="s">
        <v>919</v>
      </c>
      <c r="K528" s="14">
        <v>19</v>
      </c>
      <c r="L528" s="15" t="s">
        <v>531</v>
      </c>
      <c r="M528" s="16">
        <v>20276</v>
      </c>
      <c r="N528" s="16">
        <v>0</v>
      </c>
      <c r="O528" s="16">
        <f t="shared" si="17"/>
        <v>385244</v>
      </c>
      <c r="P528" s="19" t="s">
        <v>23</v>
      </c>
    </row>
    <row r="529" spans="1:16" x14ac:dyDescent="0.3">
      <c r="A529" s="8" t="s">
        <v>885</v>
      </c>
      <c r="B529" s="9" t="s">
        <v>915</v>
      </c>
      <c r="C529" s="17" t="s">
        <v>916</v>
      </c>
      <c r="D529" s="11">
        <v>43917</v>
      </c>
      <c r="E529" s="11">
        <v>43917</v>
      </c>
      <c r="F529" s="31">
        <v>1832949</v>
      </c>
      <c r="G529" s="32">
        <v>0</v>
      </c>
      <c r="H529" s="8" t="s">
        <v>917</v>
      </c>
      <c r="I529" s="12">
        <v>815004985</v>
      </c>
      <c r="J529" s="13" t="s">
        <v>920</v>
      </c>
      <c r="K529" s="14">
        <v>1000</v>
      </c>
      <c r="L529" s="15" t="s">
        <v>250</v>
      </c>
      <c r="M529" s="16">
        <v>1021.901</v>
      </c>
      <c r="N529" s="16">
        <v>0</v>
      </c>
      <c r="O529" s="16">
        <f t="shared" si="17"/>
        <v>1021901</v>
      </c>
      <c r="P529" s="14" t="s">
        <v>95</v>
      </c>
    </row>
    <row r="530" spans="1:16" x14ac:dyDescent="0.3">
      <c r="A530" s="8" t="s">
        <v>885</v>
      </c>
      <c r="B530" s="9" t="s">
        <v>921</v>
      </c>
      <c r="C530" s="17" t="s">
        <v>922</v>
      </c>
      <c r="D530" s="11">
        <v>43923</v>
      </c>
      <c r="E530" s="11">
        <v>43924</v>
      </c>
      <c r="F530" s="31">
        <v>3441440</v>
      </c>
      <c r="G530" s="32">
        <v>0</v>
      </c>
      <c r="H530" s="8" t="s">
        <v>917</v>
      </c>
      <c r="I530" s="12">
        <v>815004985</v>
      </c>
      <c r="J530" s="13" t="s">
        <v>33</v>
      </c>
      <c r="K530" s="24">
        <v>80</v>
      </c>
      <c r="L530" s="18" t="s">
        <v>172</v>
      </c>
      <c r="M530" s="16">
        <v>43018</v>
      </c>
      <c r="N530" s="16"/>
      <c r="O530" s="16">
        <f t="shared" si="17"/>
        <v>3441440</v>
      </c>
      <c r="P530" s="19" t="s">
        <v>34</v>
      </c>
    </row>
    <row r="531" spans="1:16" x14ac:dyDescent="0.3">
      <c r="A531" s="8" t="s">
        <v>885</v>
      </c>
      <c r="B531" s="9" t="s">
        <v>923</v>
      </c>
      <c r="C531" s="17" t="s">
        <v>916</v>
      </c>
      <c r="D531" s="11">
        <v>43924</v>
      </c>
      <c r="E531" s="11">
        <v>43925</v>
      </c>
      <c r="F531" s="31">
        <v>3050000</v>
      </c>
      <c r="G531" s="32">
        <v>0</v>
      </c>
      <c r="H531" s="8" t="s">
        <v>924</v>
      </c>
      <c r="I531" s="12">
        <v>901285199</v>
      </c>
      <c r="J531" s="13" t="s">
        <v>925</v>
      </c>
      <c r="K531" s="14">
        <v>100</v>
      </c>
      <c r="L531" s="15" t="s">
        <v>250</v>
      </c>
      <c r="M531" s="16">
        <v>15126</v>
      </c>
      <c r="N531" s="16">
        <f>M531*0.19</f>
        <v>2873.94</v>
      </c>
      <c r="O531" s="16">
        <f t="shared" si="17"/>
        <v>1799993.9999999998</v>
      </c>
      <c r="P531" s="19" t="s">
        <v>21</v>
      </c>
    </row>
    <row r="532" spans="1:16" x14ac:dyDescent="0.3">
      <c r="A532" s="8" t="s">
        <v>885</v>
      </c>
      <c r="B532" s="9" t="s">
        <v>923</v>
      </c>
      <c r="C532" s="17" t="s">
        <v>916</v>
      </c>
      <c r="D532" s="11">
        <v>43924</v>
      </c>
      <c r="E532" s="11">
        <v>43925</v>
      </c>
      <c r="F532" s="31">
        <v>3050000</v>
      </c>
      <c r="G532" s="32">
        <v>0</v>
      </c>
      <c r="H532" s="8" t="s">
        <v>924</v>
      </c>
      <c r="I532" s="12">
        <v>901285199</v>
      </c>
      <c r="J532" s="13" t="s">
        <v>926</v>
      </c>
      <c r="K532" s="14">
        <v>100</v>
      </c>
      <c r="L532" s="15" t="s">
        <v>250</v>
      </c>
      <c r="M532" s="16">
        <v>10504</v>
      </c>
      <c r="N532" s="16">
        <f>M532*0.19</f>
        <v>1995.76</v>
      </c>
      <c r="O532" s="16">
        <f t="shared" si="17"/>
        <v>1249976</v>
      </c>
      <c r="P532" s="19" t="s">
        <v>261</v>
      </c>
    </row>
    <row r="533" spans="1:16" x14ac:dyDescent="0.3">
      <c r="A533" s="8" t="s">
        <v>885</v>
      </c>
      <c r="B533" s="9" t="s">
        <v>927</v>
      </c>
      <c r="C533" s="17" t="s">
        <v>928</v>
      </c>
      <c r="D533" s="11">
        <v>43917</v>
      </c>
      <c r="E533" s="11">
        <v>43917</v>
      </c>
      <c r="F533" s="31">
        <v>4307800</v>
      </c>
      <c r="G533" s="32">
        <v>0</v>
      </c>
      <c r="H533" s="8" t="s">
        <v>149</v>
      </c>
      <c r="I533" s="12">
        <v>830037946</v>
      </c>
      <c r="J533" s="13" t="s">
        <v>929</v>
      </c>
      <c r="K533" s="14">
        <v>200</v>
      </c>
      <c r="L533" s="15" t="s">
        <v>1369</v>
      </c>
      <c r="M533" s="16">
        <v>21539</v>
      </c>
      <c r="N533" s="16">
        <v>0</v>
      </c>
      <c r="O533" s="16">
        <f t="shared" si="17"/>
        <v>4307800</v>
      </c>
      <c r="P533" s="14" t="s">
        <v>94</v>
      </c>
    </row>
    <row r="534" spans="1:16" x14ac:dyDescent="0.3">
      <c r="A534" s="8" t="s">
        <v>885</v>
      </c>
      <c r="B534" s="9" t="s">
        <v>930</v>
      </c>
      <c r="C534" s="17" t="s">
        <v>931</v>
      </c>
      <c r="D534" s="11">
        <v>43941</v>
      </c>
      <c r="E534" s="11">
        <v>43942</v>
      </c>
      <c r="F534" s="31">
        <v>7770000</v>
      </c>
      <c r="G534" s="32">
        <v>0</v>
      </c>
      <c r="H534" s="8" t="s">
        <v>924</v>
      </c>
      <c r="I534" s="12">
        <v>901285199</v>
      </c>
      <c r="J534" s="13" t="s">
        <v>1442</v>
      </c>
      <c r="K534" s="24">
        <v>400</v>
      </c>
      <c r="L534" s="18" t="s">
        <v>172</v>
      </c>
      <c r="M534" s="16">
        <v>18000</v>
      </c>
      <c r="N534" s="16">
        <v>0</v>
      </c>
      <c r="O534" s="16">
        <f t="shared" si="17"/>
        <v>7200000</v>
      </c>
      <c r="P534" s="19" t="s">
        <v>34</v>
      </c>
    </row>
    <row r="535" spans="1:16" x14ac:dyDescent="0.3">
      <c r="A535" s="8" t="s">
        <v>885</v>
      </c>
      <c r="B535" s="9" t="s">
        <v>930</v>
      </c>
      <c r="C535" s="17" t="s">
        <v>931</v>
      </c>
      <c r="D535" s="11">
        <v>43941</v>
      </c>
      <c r="E535" s="11">
        <v>43942</v>
      </c>
      <c r="F535" s="31">
        <v>7770000</v>
      </c>
      <c r="G535" s="32">
        <v>0</v>
      </c>
      <c r="H535" s="8" t="s">
        <v>924</v>
      </c>
      <c r="I535" s="12">
        <v>901285199</v>
      </c>
      <c r="J535" s="13" t="s">
        <v>932</v>
      </c>
      <c r="K535" s="14">
        <v>30</v>
      </c>
      <c r="L535" s="15" t="s">
        <v>531</v>
      </c>
      <c r="M535" s="16">
        <v>19000</v>
      </c>
      <c r="N535" s="16">
        <v>0</v>
      </c>
      <c r="O535" s="16">
        <f t="shared" si="17"/>
        <v>570000</v>
      </c>
      <c r="P535" s="19" t="s">
        <v>23</v>
      </c>
    </row>
    <row r="536" spans="1:16" x14ac:dyDescent="0.3">
      <c r="A536" s="8" t="s">
        <v>885</v>
      </c>
      <c r="B536" s="9" t="s">
        <v>933</v>
      </c>
      <c r="C536" s="17" t="s">
        <v>934</v>
      </c>
      <c r="D536" s="11">
        <v>43944</v>
      </c>
      <c r="E536" s="11">
        <v>43945</v>
      </c>
      <c r="F536" s="31">
        <v>2000000</v>
      </c>
      <c r="G536" s="32">
        <v>0</v>
      </c>
      <c r="H536" s="8" t="s">
        <v>917</v>
      </c>
      <c r="I536" s="12">
        <v>815004985</v>
      </c>
      <c r="J536" s="13" t="s">
        <v>935</v>
      </c>
      <c r="K536" s="14">
        <v>2000</v>
      </c>
      <c r="L536" s="15" t="s">
        <v>250</v>
      </c>
      <c r="M536" s="16">
        <v>1000</v>
      </c>
      <c r="N536" s="16">
        <v>0</v>
      </c>
      <c r="O536" s="16">
        <f t="shared" si="17"/>
        <v>2000000</v>
      </c>
      <c r="P536" s="14" t="s">
        <v>95</v>
      </c>
    </row>
    <row r="537" spans="1:16" x14ac:dyDescent="0.3">
      <c r="A537" s="8" t="s">
        <v>885</v>
      </c>
      <c r="B537" s="9" t="s">
        <v>936</v>
      </c>
      <c r="C537" s="17" t="s">
        <v>937</v>
      </c>
      <c r="D537" s="11">
        <v>43969</v>
      </c>
      <c r="E537" s="11">
        <v>43942</v>
      </c>
      <c r="F537" s="31">
        <v>2682000</v>
      </c>
      <c r="G537" s="32">
        <v>0</v>
      </c>
      <c r="H537" s="8" t="s">
        <v>938</v>
      </c>
      <c r="I537" s="12">
        <v>901285199</v>
      </c>
      <c r="J537" s="13" t="s">
        <v>939</v>
      </c>
      <c r="K537" s="14">
        <v>1490</v>
      </c>
      <c r="L537" s="15" t="s">
        <v>250</v>
      </c>
      <c r="M537" s="16">
        <v>1800</v>
      </c>
      <c r="N537" s="16">
        <v>0</v>
      </c>
      <c r="O537" s="16">
        <f t="shared" si="17"/>
        <v>2682000</v>
      </c>
      <c r="P537" s="14" t="s">
        <v>95</v>
      </c>
    </row>
    <row r="538" spans="1:16" x14ac:dyDescent="0.3">
      <c r="A538" s="8" t="s">
        <v>885</v>
      </c>
      <c r="B538" s="9" t="s">
        <v>940</v>
      </c>
      <c r="C538" s="17" t="s">
        <v>941</v>
      </c>
      <c r="D538" s="11">
        <v>43971</v>
      </c>
      <c r="E538" s="11">
        <v>43945</v>
      </c>
      <c r="F538" s="31">
        <v>4086300</v>
      </c>
      <c r="G538" s="32">
        <v>0</v>
      </c>
      <c r="H538" s="8" t="s">
        <v>942</v>
      </c>
      <c r="I538" s="12">
        <v>76264578</v>
      </c>
      <c r="J538" s="13" t="s">
        <v>943</v>
      </c>
      <c r="K538" s="14">
        <v>1</v>
      </c>
      <c r="L538" s="15" t="s">
        <v>250</v>
      </c>
      <c r="M538" s="16">
        <v>4086300</v>
      </c>
      <c r="N538" s="16">
        <v>0</v>
      </c>
      <c r="O538" s="16">
        <f t="shared" si="17"/>
        <v>4086300</v>
      </c>
      <c r="P538" s="14" t="s">
        <v>1402</v>
      </c>
    </row>
    <row r="539" spans="1:16" x14ac:dyDescent="0.3">
      <c r="A539" s="8" t="s">
        <v>885</v>
      </c>
      <c r="B539" s="9">
        <v>48786</v>
      </c>
      <c r="C539" s="17" t="s">
        <v>944</v>
      </c>
      <c r="D539" s="11">
        <v>43970</v>
      </c>
      <c r="E539" s="11">
        <v>43970</v>
      </c>
      <c r="F539" s="31">
        <v>8900000</v>
      </c>
      <c r="G539" s="32">
        <v>3800000</v>
      </c>
      <c r="H539" s="8" t="s">
        <v>945</v>
      </c>
      <c r="I539" s="12">
        <v>900401081</v>
      </c>
      <c r="J539" s="13" t="s">
        <v>946</v>
      </c>
      <c r="K539" s="14">
        <v>12700</v>
      </c>
      <c r="L539" s="15" t="s">
        <v>250</v>
      </c>
      <c r="M539" s="16">
        <v>1000</v>
      </c>
      <c r="N539" s="16">
        <v>0</v>
      </c>
      <c r="O539" s="16">
        <f t="shared" si="17"/>
        <v>12700000</v>
      </c>
      <c r="P539" s="14" t="s">
        <v>95</v>
      </c>
    </row>
    <row r="540" spans="1:16" x14ac:dyDescent="0.3">
      <c r="A540" s="8" t="s">
        <v>885</v>
      </c>
      <c r="B540" s="9">
        <v>48800</v>
      </c>
      <c r="C540" s="17" t="s">
        <v>947</v>
      </c>
      <c r="D540" s="11">
        <v>43971</v>
      </c>
      <c r="E540" s="11">
        <v>43971</v>
      </c>
      <c r="F540" s="31">
        <v>11737650</v>
      </c>
      <c r="G540" s="32">
        <v>0</v>
      </c>
      <c r="H540" s="8" t="s">
        <v>948</v>
      </c>
      <c r="I540" s="12">
        <v>900350133</v>
      </c>
      <c r="J540" s="13" t="s">
        <v>59</v>
      </c>
      <c r="K540" s="14">
        <v>199</v>
      </c>
      <c r="L540" s="18" t="s">
        <v>531</v>
      </c>
      <c r="M540" s="16">
        <v>58983.165829145699</v>
      </c>
      <c r="N540" s="16">
        <v>0</v>
      </c>
      <c r="O540" s="16">
        <f t="shared" si="17"/>
        <v>11737649.999999994</v>
      </c>
      <c r="P540" s="19" t="s">
        <v>59</v>
      </c>
    </row>
    <row r="541" spans="1:16" x14ac:dyDescent="0.3">
      <c r="A541" s="8" t="s">
        <v>885</v>
      </c>
      <c r="B541" s="9">
        <v>49008</v>
      </c>
      <c r="C541" s="17" t="s">
        <v>949</v>
      </c>
      <c r="D541" s="11">
        <v>43973</v>
      </c>
      <c r="E541" s="11">
        <v>43973</v>
      </c>
      <c r="F541" s="31">
        <v>4484000</v>
      </c>
      <c r="G541" s="32">
        <v>0</v>
      </c>
      <c r="H541" s="8" t="s">
        <v>224</v>
      </c>
      <c r="I541" s="12">
        <v>900300970</v>
      </c>
      <c r="J541" s="13" t="s">
        <v>36</v>
      </c>
      <c r="K541" s="14">
        <v>318</v>
      </c>
      <c r="L541" s="18" t="s">
        <v>172</v>
      </c>
      <c r="M541" s="16">
        <v>14100.6289308176</v>
      </c>
      <c r="N541" s="16">
        <v>0</v>
      </c>
      <c r="O541" s="16">
        <f t="shared" si="17"/>
        <v>4483999.9999999972</v>
      </c>
      <c r="P541" s="19" t="s">
        <v>36</v>
      </c>
    </row>
    <row r="542" spans="1:16" x14ac:dyDescent="0.3">
      <c r="A542" s="8" t="s">
        <v>885</v>
      </c>
      <c r="B542" s="9">
        <v>49046</v>
      </c>
      <c r="C542" s="17" t="s">
        <v>950</v>
      </c>
      <c r="D542" s="11">
        <v>43973</v>
      </c>
      <c r="E542" s="11">
        <v>43973</v>
      </c>
      <c r="F542" s="31">
        <v>4502668</v>
      </c>
      <c r="G542" s="32">
        <v>0</v>
      </c>
      <c r="H542" s="8" t="s">
        <v>951</v>
      </c>
      <c r="I542" s="12">
        <v>805023817</v>
      </c>
      <c r="J542" s="13" t="s">
        <v>34</v>
      </c>
      <c r="K542" s="24">
        <v>320</v>
      </c>
      <c r="L542" s="18" t="s">
        <v>172</v>
      </c>
      <c r="M542" s="16">
        <v>14070.8375</v>
      </c>
      <c r="N542" s="16">
        <v>0</v>
      </c>
      <c r="O542" s="16">
        <f t="shared" si="17"/>
        <v>4502668</v>
      </c>
      <c r="P542" s="19" t="s">
        <v>34</v>
      </c>
    </row>
    <row r="543" spans="1:16" x14ac:dyDescent="0.3">
      <c r="A543" s="8" t="s">
        <v>885</v>
      </c>
      <c r="B543" s="9">
        <v>49009</v>
      </c>
      <c r="C543" s="17" t="s">
        <v>952</v>
      </c>
      <c r="D543" s="11">
        <v>43973</v>
      </c>
      <c r="E543" s="11">
        <v>43973</v>
      </c>
      <c r="F543" s="31">
        <v>15534230</v>
      </c>
      <c r="G543" s="32">
        <v>0</v>
      </c>
      <c r="H543" s="8" t="s">
        <v>227</v>
      </c>
      <c r="I543" s="12">
        <v>900704052</v>
      </c>
      <c r="J543" s="13" t="s">
        <v>94</v>
      </c>
      <c r="K543" s="14">
        <f>9195/3</f>
        <v>3065</v>
      </c>
      <c r="L543" s="18" t="s">
        <v>1277</v>
      </c>
      <c r="M543" s="16">
        <f>1689.42142468733*3</f>
        <v>5068.2642740619904</v>
      </c>
      <c r="N543" s="16">
        <v>0</v>
      </c>
      <c r="O543" s="16">
        <f t="shared" si="17"/>
        <v>15534230</v>
      </c>
      <c r="P543" s="14" t="s">
        <v>94</v>
      </c>
    </row>
    <row r="544" spans="1:16" x14ac:dyDescent="0.3">
      <c r="A544" s="8" t="s">
        <v>885</v>
      </c>
      <c r="B544" s="9">
        <v>49355</v>
      </c>
      <c r="C544" s="17" t="s">
        <v>953</v>
      </c>
      <c r="D544" s="11">
        <v>43979</v>
      </c>
      <c r="E544" s="11">
        <v>43979</v>
      </c>
      <c r="F544" s="31">
        <v>11500000</v>
      </c>
      <c r="G544" s="32">
        <v>0</v>
      </c>
      <c r="H544" s="8" t="s">
        <v>176</v>
      </c>
      <c r="I544" s="12">
        <v>900017447</v>
      </c>
      <c r="J544" s="13" t="s">
        <v>395</v>
      </c>
      <c r="K544" s="14">
        <v>20</v>
      </c>
      <c r="L544" s="15" t="s">
        <v>250</v>
      </c>
      <c r="M544" s="16">
        <v>575000</v>
      </c>
      <c r="N544" s="16">
        <v>0</v>
      </c>
      <c r="O544" s="16">
        <f t="shared" si="17"/>
        <v>11500000</v>
      </c>
      <c r="P544" s="14" t="s">
        <v>136</v>
      </c>
    </row>
    <row r="545" spans="1:16" x14ac:dyDescent="0.3">
      <c r="A545" s="8" t="s">
        <v>885</v>
      </c>
      <c r="B545" s="9">
        <v>49450</v>
      </c>
      <c r="C545" s="17" t="s">
        <v>954</v>
      </c>
      <c r="D545" s="11">
        <v>43980</v>
      </c>
      <c r="E545" s="11">
        <v>43980</v>
      </c>
      <c r="F545" s="31">
        <v>10400000</v>
      </c>
      <c r="G545" s="32">
        <v>0</v>
      </c>
      <c r="H545" s="8" t="s">
        <v>368</v>
      </c>
      <c r="I545" s="12">
        <v>900155107</v>
      </c>
      <c r="J545" s="13" t="s">
        <v>955</v>
      </c>
      <c r="K545" s="14">
        <v>80</v>
      </c>
      <c r="L545" s="15" t="s">
        <v>250</v>
      </c>
      <c r="M545" s="16">
        <v>130000</v>
      </c>
      <c r="N545" s="16">
        <v>0</v>
      </c>
      <c r="O545" s="16">
        <f t="shared" si="17"/>
        <v>10400000</v>
      </c>
      <c r="P545" s="14" t="s">
        <v>1383</v>
      </c>
    </row>
    <row r="546" spans="1:16" x14ac:dyDescent="0.3">
      <c r="A546" s="8" t="s">
        <v>885</v>
      </c>
      <c r="B546" s="9">
        <v>49645</v>
      </c>
      <c r="C546" s="17" t="s">
        <v>1270</v>
      </c>
      <c r="D546" s="11">
        <v>43984</v>
      </c>
      <c r="E546" s="11">
        <v>43984</v>
      </c>
      <c r="F546" s="31">
        <v>8195650</v>
      </c>
      <c r="G546" s="32">
        <v>0</v>
      </c>
      <c r="H546" s="8" t="s">
        <v>368</v>
      </c>
      <c r="I546" s="12">
        <v>900155107</v>
      </c>
      <c r="J546" s="13" t="s">
        <v>25</v>
      </c>
      <c r="K546" s="14">
        <v>950</v>
      </c>
      <c r="L546" s="15" t="s">
        <v>250</v>
      </c>
      <c r="M546" s="16">
        <v>8627</v>
      </c>
      <c r="N546" s="16">
        <v>0</v>
      </c>
      <c r="O546" s="16">
        <f t="shared" si="17"/>
        <v>8195650</v>
      </c>
      <c r="P546" s="19" t="s">
        <v>25</v>
      </c>
    </row>
    <row r="547" spans="1:16" x14ac:dyDescent="0.3">
      <c r="A547" s="8" t="s">
        <v>885</v>
      </c>
      <c r="B547" s="9">
        <v>49646</v>
      </c>
      <c r="C547" s="17" t="s">
        <v>1271</v>
      </c>
      <c r="D547" s="11">
        <v>43984</v>
      </c>
      <c r="E547" s="11">
        <v>43984</v>
      </c>
      <c r="F547" s="31">
        <v>7696200</v>
      </c>
      <c r="G547" s="32">
        <v>0</v>
      </c>
      <c r="H547" s="8" t="s">
        <v>368</v>
      </c>
      <c r="I547" s="12">
        <v>900155107</v>
      </c>
      <c r="J547" s="13" t="s">
        <v>956</v>
      </c>
      <c r="K547" s="14">
        <v>3</v>
      </c>
      <c r="L547" s="15" t="s">
        <v>250</v>
      </c>
      <c r="M547" s="16">
        <v>2565400</v>
      </c>
      <c r="N547" s="16">
        <v>0</v>
      </c>
      <c r="O547" s="16">
        <f t="shared" si="17"/>
        <v>7696200</v>
      </c>
      <c r="P547" s="14" t="s">
        <v>1274</v>
      </c>
    </row>
    <row r="548" spans="1:16" x14ac:dyDescent="0.3">
      <c r="A548" s="8" t="s">
        <v>885</v>
      </c>
      <c r="B548" s="9">
        <v>50705</v>
      </c>
      <c r="C548" s="17" t="s">
        <v>957</v>
      </c>
      <c r="D548" s="11">
        <v>44000</v>
      </c>
      <c r="E548" s="11">
        <v>44000</v>
      </c>
      <c r="F548" s="31">
        <v>49500001</v>
      </c>
      <c r="G548" s="32">
        <v>0</v>
      </c>
      <c r="H548" s="8" t="s">
        <v>945</v>
      </c>
      <c r="I548" s="12">
        <v>900401081</v>
      </c>
      <c r="J548" s="13" t="s">
        <v>946</v>
      </c>
      <c r="K548" s="14">
        <v>50000</v>
      </c>
      <c r="L548" s="15" t="s">
        <v>250</v>
      </c>
      <c r="M548" s="16">
        <v>990.00001999999995</v>
      </c>
      <c r="N548" s="16">
        <v>0</v>
      </c>
      <c r="O548" s="16">
        <f t="shared" si="17"/>
        <v>49500001</v>
      </c>
      <c r="P548" s="14" t="s">
        <v>95</v>
      </c>
    </row>
    <row r="549" spans="1:16" x14ac:dyDescent="0.3">
      <c r="A549" s="8" t="s">
        <v>885</v>
      </c>
      <c r="B549" s="9">
        <v>50897</v>
      </c>
      <c r="C549" s="17" t="s">
        <v>1272</v>
      </c>
      <c r="D549" s="11">
        <v>44005</v>
      </c>
      <c r="E549" s="11">
        <v>44005</v>
      </c>
      <c r="F549" s="31">
        <v>1100000</v>
      </c>
      <c r="G549" s="32">
        <v>0</v>
      </c>
      <c r="H549" s="8" t="s">
        <v>200</v>
      </c>
      <c r="I549" s="12">
        <v>830037946</v>
      </c>
      <c r="J549" s="13" t="s">
        <v>232</v>
      </c>
      <c r="K549" s="14">
        <v>100</v>
      </c>
      <c r="L549" s="15" t="s">
        <v>250</v>
      </c>
      <c r="M549" s="16">
        <v>11000</v>
      </c>
      <c r="N549" s="16">
        <v>0</v>
      </c>
      <c r="O549" s="16">
        <f t="shared" si="17"/>
        <v>1100000</v>
      </c>
      <c r="P549" s="19" t="s">
        <v>232</v>
      </c>
    </row>
    <row r="550" spans="1:16" x14ac:dyDescent="0.3">
      <c r="A550" s="8" t="s">
        <v>885</v>
      </c>
      <c r="B550" s="9">
        <v>50981</v>
      </c>
      <c r="C550" s="17" t="s">
        <v>1273</v>
      </c>
      <c r="D550" s="11">
        <v>44007</v>
      </c>
      <c r="E550" s="11">
        <v>44007</v>
      </c>
      <c r="F550" s="31">
        <v>38826000</v>
      </c>
      <c r="G550" s="32">
        <v>0</v>
      </c>
      <c r="H550" s="8" t="s">
        <v>958</v>
      </c>
      <c r="I550" s="12">
        <v>901211678</v>
      </c>
      <c r="J550" s="13" t="s">
        <v>603</v>
      </c>
      <c r="K550" s="24">
        <v>3000</v>
      </c>
      <c r="L550" s="15" t="s">
        <v>172</v>
      </c>
      <c r="M550" s="16">
        <v>12942</v>
      </c>
      <c r="N550" s="16">
        <v>0</v>
      </c>
      <c r="O550" s="16">
        <f t="shared" si="17"/>
        <v>38826000</v>
      </c>
      <c r="P550" s="14" t="s">
        <v>1375</v>
      </c>
    </row>
    <row r="551" spans="1:16" x14ac:dyDescent="0.3">
      <c r="A551" s="8" t="s">
        <v>885</v>
      </c>
      <c r="B551" s="9">
        <v>52480</v>
      </c>
      <c r="C551" s="17" t="s">
        <v>1271</v>
      </c>
      <c r="D551" s="11">
        <v>44035</v>
      </c>
      <c r="E551" s="11">
        <v>44035</v>
      </c>
      <c r="F551" s="31">
        <v>2359000</v>
      </c>
      <c r="G551" s="32">
        <v>0</v>
      </c>
      <c r="H551" s="8" t="s">
        <v>368</v>
      </c>
      <c r="I551" s="12">
        <v>900155107</v>
      </c>
      <c r="J551" s="13" t="s">
        <v>131</v>
      </c>
      <c r="K551" s="14">
        <v>1</v>
      </c>
      <c r="L551" s="15" t="s">
        <v>250</v>
      </c>
      <c r="M551" s="16">
        <v>2359000</v>
      </c>
      <c r="N551" s="16">
        <v>0</v>
      </c>
      <c r="O551" s="16">
        <f t="shared" si="17"/>
        <v>2359000</v>
      </c>
      <c r="P551" s="14" t="s">
        <v>1274</v>
      </c>
    </row>
    <row r="552" spans="1:16" x14ac:dyDescent="0.3">
      <c r="A552" s="8" t="s">
        <v>959</v>
      </c>
      <c r="B552" s="9">
        <v>35</v>
      </c>
      <c r="C552" s="10" t="s">
        <v>960</v>
      </c>
      <c r="D552" s="11">
        <v>43477</v>
      </c>
      <c r="E552" s="11">
        <v>43800</v>
      </c>
      <c r="F552" s="31">
        <v>0</v>
      </c>
      <c r="G552" s="32">
        <v>67434392</v>
      </c>
      <c r="H552" s="8" t="s">
        <v>961</v>
      </c>
      <c r="I552" s="12">
        <v>811044253</v>
      </c>
      <c r="J552" s="13" t="s">
        <v>1456</v>
      </c>
      <c r="K552" s="24">
        <v>400</v>
      </c>
      <c r="L552" s="15" t="s">
        <v>172</v>
      </c>
      <c r="M552" s="16">
        <v>8193</v>
      </c>
      <c r="N552" s="16">
        <v>0</v>
      </c>
      <c r="O552" s="16">
        <f t="shared" si="17"/>
        <v>3277200</v>
      </c>
      <c r="P552" s="14" t="s">
        <v>96</v>
      </c>
    </row>
    <row r="553" spans="1:16" x14ac:dyDescent="0.3">
      <c r="A553" s="8" t="s">
        <v>959</v>
      </c>
      <c r="B553" s="9">
        <v>35</v>
      </c>
      <c r="C553" s="10" t="s">
        <v>960</v>
      </c>
      <c r="D553" s="11">
        <v>43477</v>
      </c>
      <c r="E553" s="11">
        <v>43800</v>
      </c>
      <c r="F553" s="31">
        <v>0</v>
      </c>
      <c r="G553" s="32">
        <v>67434392</v>
      </c>
      <c r="H553" s="8" t="s">
        <v>961</v>
      </c>
      <c r="I553" s="12">
        <v>811044253</v>
      </c>
      <c r="J553" s="37" t="s">
        <v>1467</v>
      </c>
      <c r="K553" s="24">
        <v>40</v>
      </c>
      <c r="L553" s="15" t="s">
        <v>172</v>
      </c>
      <c r="M553" s="16">
        <v>10920</v>
      </c>
      <c r="N553" s="16">
        <v>0</v>
      </c>
      <c r="O553" s="16">
        <f t="shared" si="17"/>
        <v>436800</v>
      </c>
      <c r="P553" s="14" t="s">
        <v>96</v>
      </c>
    </row>
    <row r="554" spans="1:16" x14ac:dyDescent="0.3">
      <c r="A554" s="8" t="s">
        <v>959</v>
      </c>
      <c r="B554" s="9">
        <v>35</v>
      </c>
      <c r="C554" s="10" t="s">
        <v>960</v>
      </c>
      <c r="D554" s="11">
        <v>43477</v>
      </c>
      <c r="E554" s="11">
        <v>43800</v>
      </c>
      <c r="F554" s="31">
        <v>0</v>
      </c>
      <c r="G554" s="32">
        <v>67434392</v>
      </c>
      <c r="H554" s="8" t="s">
        <v>961</v>
      </c>
      <c r="I554" s="12">
        <v>811044253</v>
      </c>
      <c r="J554" s="13" t="s">
        <v>962</v>
      </c>
      <c r="K554" s="14">
        <v>233</v>
      </c>
      <c r="L554" s="18" t="s">
        <v>531</v>
      </c>
      <c r="M554" s="16">
        <v>53200</v>
      </c>
      <c r="N554" s="16">
        <v>0</v>
      </c>
      <c r="O554" s="16">
        <f t="shared" si="17"/>
        <v>12395600</v>
      </c>
      <c r="P554" s="14" t="s">
        <v>59</v>
      </c>
    </row>
    <row r="555" spans="1:16" x14ac:dyDescent="0.3">
      <c r="A555" s="8" t="s">
        <v>959</v>
      </c>
      <c r="B555" s="9">
        <v>35</v>
      </c>
      <c r="C555" s="10" t="s">
        <v>960</v>
      </c>
      <c r="D555" s="11">
        <v>43477</v>
      </c>
      <c r="E555" s="11">
        <v>43800</v>
      </c>
      <c r="F555" s="31">
        <v>0</v>
      </c>
      <c r="G555" s="32">
        <v>67434392</v>
      </c>
      <c r="H555" s="8" t="s">
        <v>961</v>
      </c>
      <c r="I555" s="12">
        <v>811044253</v>
      </c>
      <c r="J555" s="13" t="s">
        <v>963</v>
      </c>
      <c r="K555" s="14">
        <f>579/3</f>
        <v>193</v>
      </c>
      <c r="L555" s="18" t="s">
        <v>1277</v>
      </c>
      <c r="M555" s="16">
        <f>5200*3</f>
        <v>15600</v>
      </c>
      <c r="N555" s="16">
        <v>0</v>
      </c>
      <c r="O555" s="16">
        <f t="shared" si="17"/>
        <v>3010800</v>
      </c>
      <c r="P555" s="14" t="s">
        <v>94</v>
      </c>
    </row>
    <row r="556" spans="1:16" x14ac:dyDescent="0.3">
      <c r="A556" s="8" t="s">
        <v>959</v>
      </c>
      <c r="B556" s="9">
        <v>35</v>
      </c>
      <c r="C556" s="10" t="s">
        <v>960</v>
      </c>
      <c r="D556" s="11">
        <v>43477</v>
      </c>
      <c r="E556" s="11">
        <v>43800</v>
      </c>
      <c r="F556" s="31">
        <v>0</v>
      </c>
      <c r="G556" s="32">
        <v>67434392</v>
      </c>
      <c r="H556" s="8" t="s">
        <v>961</v>
      </c>
      <c r="I556" s="12">
        <v>811044253</v>
      </c>
      <c r="J556" s="13" t="s">
        <v>964</v>
      </c>
      <c r="K556" s="24">
        <v>400</v>
      </c>
      <c r="L556" s="15" t="s">
        <v>172</v>
      </c>
      <c r="M556" s="16">
        <v>11127</v>
      </c>
      <c r="N556" s="16">
        <v>0</v>
      </c>
      <c r="O556" s="16">
        <f t="shared" si="17"/>
        <v>4450800</v>
      </c>
      <c r="P556" s="14" t="s">
        <v>34</v>
      </c>
    </row>
    <row r="557" spans="1:16" x14ac:dyDescent="0.3">
      <c r="A557" s="8" t="s">
        <v>959</v>
      </c>
      <c r="B557" s="9">
        <v>35</v>
      </c>
      <c r="C557" s="10" t="s">
        <v>960</v>
      </c>
      <c r="D557" s="11">
        <v>43478</v>
      </c>
      <c r="E557" s="11">
        <v>43801</v>
      </c>
      <c r="F557" s="31">
        <v>0</v>
      </c>
      <c r="G557" s="32">
        <v>67434392</v>
      </c>
      <c r="H557" s="8" t="s">
        <v>961</v>
      </c>
      <c r="I557" s="12">
        <v>811044253</v>
      </c>
      <c r="J557" s="13" t="s">
        <v>965</v>
      </c>
      <c r="K557" s="14">
        <v>3998</v>
      </c>
      <c r="L557" s="15" t="s">
        <v>250</v>
      </c>
      <c r="M557" s="16">
        <v>1842</v>
      </c>
      <c r="N557" s="16">
        <v>0</v>
      </c>
      <c r="O557" s="16">
        <f t="shared" si="17"/>
        <v>7364316</v>
      </c>
      <c r="P557" s="14" t="s">
        <v>95</v>
      </c>
    </row>
    <row r="558" spans="1:16" x14ac:dyDescent="0.3">
      <c r="A558" s="8" t="s">
        <v>959</v>
      </c>
      <c r="B558" s="9">
        <v>35</v>
      </c>
      <c r="C558" s="10" t="s">
        <v>960</v>
      </c>
      <c r="D558" s="11">
        <v>43477</v>
      </c>
      <c r="E558" s="11">
        <v>43800</v>
      </c>
      <c r="F558" s="31">
        <v>0</v>
      </c>
      <c r="G558" s="32">
        <v>67434392</v>
      </c>
      <c r="H558" s="8" t="s">
        <v>961</v>
      </c>
      <c r="I558" s="12">
        <v>811044253</v>
      </c>
      <c r="J558" s="13" t="s">
        <v>966</v>
      </c>
      <c r="K558" s="14">
        <v>1000</v>
      </c>
      <c r="L558" s="15" t="s">
        <v>250</v>
      </c>
      <c r="M558" s="16">
        <v>3680</v>
      </c>
      <c r="N558" s="16">
        <v>0</v>
      </c>
      <c r="O558" s="16">
        <f t="shared" si="17"/>
        <v>3680000</v>
      </c>
      <c r="P558" s="14" t="s">
        <v>95</v>
      </c>
    </row>
    <row r="559" spans="1:16" x14ac:dyDescent="0.3">
      <c r="A559" s="8" t="s">
        <v>959</v>
      </c>
      <c r="B559" s="9">
        <v>35</v>
      </c>
      <c r="C559" s="10" t="s">
        <v>960</v>
      </c>
      <c r="D559" s="11">
        <v>43477</v>
      </c>
      <c r="E559" s="11">
        <v>43800</v>
      </c>
      <c r="F559" s="31">
        <v>0</v>
      </c>
      <c r="G559" s="32">
        <v>67434392</v>
      </c>
      <c r="H559" s="8" t="s">
        <v>961</v>
      </c>
      <c r="I559" s="12">
        <v>811044253</v>
      </c>
      <c r="J559" s="13" t="s">
        <v>967</v>
      </c>
      <c r="K559" s="14">
        <v>250</v>
      </c>
      <c r="L559" s="15" t="s">
        <v>250</v>
      </c>
      <c r="M559" s="16">
        <v>6300</v>
      </c>
      <c r="N559" s="16">
        <v>0</v>
      </c>
      <c r="O559" s="16">
        <f t="shared" si="17"/>
        <v>1575000</v>
      </c>
      <c r="P559" s="14" t="s">
        <v>25</v>
      </c>
    </row>
    <row r="560" spans="1:16" x14ac:dyDescent="0.3">
      <c r="A560" s="8" t="s">
        <v>959</v>
      </c>
      <c r="B560" s="9">
        <v>35</v>
      </c>
      <c r="C560" s="10" t="s">
        <v>960</v>
      </c>
      <c r="D560" s="11">
        <v>43477</v>
      </c>
      <c r="E560" s="11">
        <v>43800</v>
      </c>
      <c r="F560" s="31">
        <v>0</v>
      </c>
      <c r="G560" s="32">
        <v>67434392</v>
      </c>
      <c r="H560" s="8" t="s">
        <v>961</v>
      </c>
      <c r="I560" s="12">
        <v>811044253</v>
      </c>
      <c r="J560" s="13" t="s">
        <v>968</v>
      </c>
      <c r="K560" s="14">
        <v>22</v>
      </c>
      <c r="L560" s="15" t="s">
        <v>172</v>
      </c>
      <c r="M560" s="16">
        <v>77000</v>
      </c>
      <c r="N560" s="16">
        <v>0</v>
      </c>
      <c r="O560" s="16">
        <f t="shared" si="17"/>
        <v>1694000</v>
      </c>
      <c r="P560" s="14" t="s">
        <v>1398</v>
      </c>
    </row>
    <row r="561" spans="1:16" x14ac:dyDescent="0.3">
      <c r="A561" s="8" t="s">
        <v>959</v>
      </c>
      <c r="B561" s="9">
        <v>35</v>
      </c>
      <c r="C561" s="10" t="s">
        <v>960</v>
      </c>
      <c r="D561" s="11">
        <v>43477</v>
      </c>
      <c r="E561" s="11">
        <v>43800</v>
      </c>
      <c r="F561" s="31">
        <v>0</v>
      </c>
      <c r="G561" s="32">
        <v>67434392</v>
      </c>
      <c r="H561" s="8" t="s">
        <v>961</v>
      </c>
      <c r="I561" s="12">
        <v>811044253</v>
      </c>
      <c r="J561" s="13" t="s">
        <v>969</v>
      </c>
      <c r="K561" s="14">
        <v>450</v>
      </c>
      <c r="L561" s="15" t="s">
        <v>250</v>
      </c>
      <c r="M561" s="16">
        <v>2944</v>
      </c>
      <c r="N561" s="16">
        <v>0</v>
      </c>
      <c r="O561" s="16">
        <f t="shared" si="17"/>
        <v>1324800</v>
      </c>
      <c r="P561" s="14" t="s">
        <v>1380</v>
      </c>
    </row>
    <row r="562" spans="1:16" x14ac:dyDescent="0.3">
      <c r="A562" s="8" t="s">
        <v>959</v>
      </c>
      <c r="B562" s="9">
        <v>35</v>
      </c>
      <c r="C562" s="10" t="s">
        <v>960</v>
      </c>
      <c r="D562" s="11">
        <v>43477</v>
      </c>
      <c r="E562" s="11">
        <v>43800</v>
      </c>
      <c r="F562" s="31">
        <v>0</v>
      </c>
      <c r="G562" s="32">
        <v>67434392</v>
      </c>
      <c r="H562" s="8" t="s">
        <v>961</v>
      </c>
      <c r="I562" s="12">
        <v>811044253</v>
      </c>
      <c r="J562" s="13" t="s">
        <v>970</v>
      </c>
      <c r="K562" s="14">
        <v>650</v>
      </c>
      <c r="L562" s="15" t="s">
        <v>250</v>
      </c>
      <c r="M562" s="16">
        <v>2815</v>
      </c>
      <c r="N562" s="16">
        <v>0</v>
      </c>
      <c r="O562" s="16">
        <f t="shared" si="17"/>
        <v>1829750</v>
      </c>
      <c r="P562" s="14" t="s">
        <v>1380</v>
      </c>
    </row>
    <row r="563" spans="1:16" x14ac:dyDescent="0.3">
      <c r="A563" s="8" t="s">
        <v>959</v>
      </c>
      <c r="B563" s="9">
        <v>35</v>
      </c>
      <c r="C563" s="10" t="s">
        <v>960</v>
      </c>
      <c r="D563" s="11">
        <v>43477</v>
      </c>
      <c r="E563" s="11">
        <v>43800</v>
      </c>
      <c r="F563" s="31">
        <v>0</v>
      </c>
      <c r="G563" s="32">
        <v>67434392</v>
      </c>
      <c r="H563" s="8" t="s">
        <v>961</v>
      </c>
      <c r="I563" s="12">
        <v>811044253</v>
      </c>
      <c r="J563" s="13" t="s">
        <v>971</v>
      </c>
      <c r="K563" s="14">
        <v>387</v>
      </c>
      <c r="L563" s="15" t="s">
        <v>250</v>
      </c>
      <c r="M563" s="16">
        <v>6300</v>
      </c>
      <c r="N563" s="16">
        <v>0</v>
      </c>
      <c r="O563" s="16">
        <f t="shared" si="17"/>
        <v>2438100</v>
      </c>
      <c r="P563" s="14" t="s">
        <v>1380</v>
      </c>
    </row>
    <row r="564" spans="1:16" x14ac:dyDescent="0.3">
      <c r="A564" s="8" t="s">
        <v>959</v>
      </c>
      <c r="B564" s="9">
        <v>35</v>
      </c>
      <c r="C564" s="10" t="s">
        <v>960</v>
      </c>
      <c r="D564" s="11">
        <v>43477</v>
      </c>
      <c r="E564" s="11">
        <v>43800</v>
      </c>
      <c r="F564" s="31">
        <v>0</v>
      </c>
      <c r="G564" s="32">
        <v>67434392</v>
      </c>
      <c r="H564" s="8" t="s">
        <v>961</v>
      </c>
      <c r="I564" s="12">
        <v>811044253</v>
      </c>
      <c r="J564" s="13" t="s">
        <v>972</v>
      </c>
      <c r="K564" s="14">
        <v>387</v>
      </c>
      <c r="L564" s="15" t="s">
        <v>250</v>
      </c>
      <c r="M564" s="16">
        <v>6859</v>
      </c>
      <c r="N564" s="16">
        <v>0</v>
      </c>
      <c r="O564" s="16">
        <f t="shared" si="17"/>
        <v>2654433</v>
      </c>
      <c r="P564" s="14" t="s">
        <v>1380</v>
      </c>
    </row>
    <row r="565" spans="1:16" x14ac:dyDescent="0.3">
      <c r="A565" s="8" t="s">
        <v>959</v>
      </c>
      <c r="B565" s="9">
        <v>35</v>
      </c>
      <c r="C565" s="10" t="s">
        <v>960</v>
      </c>
      <c r="D565" s="11">
        <v>43477</v>
      </c>
      <c r="E565" s="11">
        <v>43800</v>
      </c>
      <c r="F565" s="31">
        <v>0</v>
      </c>
      <c r="G565" s="32">
        <v>67434392</v>
      </c>
      <c r="H565" s="8" t="s">
        <v>961</v>
      </c>
      <c r="I565" s="12">
        <v>811044253</v>
      </c>
      <c r="J565" s="13" t="s">
        <v>973</v>
      </c>
      <c r="K565" s="14">
        <v>100</v>
      </c>
      <c r="L565" s="15" t="s">
        <v>250</v>
      </c>
      <c r="M565" s="16">
        <v>27000</v>
      </c>
      <c r="N565" s="16">
        <v>0</v>
      </c>
      <c r="O565" s="16">
        <f t="shared" si="17"/>
        <v>2700000</v>
      </c>
      <c r="P565" s="19" t="s">
        <v>21</v>
      </c>
    </row>
    <row r="566" spans="1:16" x14ac:dyDescent="0.3">
      <c r="A566" s="8" t="s">
        <v>959</v>
      </c>
      <c r="B566" s="9">
        <v>35</v>
      </c>
      <c r="C566" s="10" t="s">
        <v>960</v>
      </c>
      <c r="D566" s="11">
        <v>43477</v>
      </c>
      <c r="E566" s="11">
        <v>43800</v>
      </c>
      <c r="F566" s="31">
        <v>0</v>
      </c>
      <c r="G566" s="32">
        <v>67434392</v>
      </c>
      <c r="H566" s="8" t="s">
        <v>961</v>
      </c>
      <c r="I566" s="12">
        <v>811044253</v>
      </c>
      <c r="J566" s="13" t="s">
        <v>974</v>
      </c>
      <c r="K566" s="14">
        <v>400</v>
      </c>
      <c r="L566" s="18" t="s">
        <v>172</v>
      </c>
      <c r="M566" s="16">
        <v>3492</v>
      </c>
      <c r="N566" s="16">
        <v>0</v>
      </c>
      <c r="O566" s="16">
        <f t="shared" si="17"/>
        <v>1396800</v>
      </c>
      <c r="P566" s="19" t="s">
        <v>36</v>
      </c>
    </row>
    <row r="567" spans="1:16" x14ac:dyDescent="0.3">
      <c r="A567" s="8" t="s">
        <v>959</v>
      </c>
      <c r="B567" s="9">
        <v>35</v>
      </c>
      <c r="C567" s="10" t="s">
        <v>960</v>
      </c>
      <c r="D567" s="11">
        <v>43477</v>
      </c>
      <c r="E567" s="11">
        <v>43800</v>
      </c>
      <c r="F567" s="31">
        <v>0</v>
      </c>
      <c r="G567" s="32">
        <v>67434392</v>
      </c>
      <c r="H567" s="8" t="s">
        <v>961</v>
      </c>
      <c r="I567" s="12">
        <v>811044253</v>
      </c>
      <c r="J567" s="13" t="s">
        <v>975</v>
      </c>
      <c r="K567" s="14">
        <v>750</v>
      </c>
      <c r="L567" s="15" t="s">
        <v>250</v>
      </c>
      <c r="M567" s="16">
        <v>14000</v>
      </c>
      <c r="N567" s="16">
        <v>0</v>
      </c>
      <c r="O567" s="16">
        <f t="shared" si="17"/>
        <v>10500000</v>
      </c>
      <c r="P567" s="14" t="s">
        <v>232</v>
      </c>
    </row>
    <row r="568" spans="1:16" x14ac:dyDescent="0.3">
      <c r="A568" s="8" t="s">
        <v>959</v>
      </c>
      <c r="B568" s="9">
        <v>35</v>
      </c>
      <c r="C568" s="10" t="s">
        <v>960</v>
      </c>
      <c r="D568" s="11">
        <v>43477</v>
      </c>
      <c r="E568" s="11">
        <v>43800</v>
      </c>
      <c r="F568" s="31">
        <v>0</v>
      </c>
      <c r="G568" s="32">
        <v>67434392</v>
      </c>
      <c r="H568" s="8" t="s">
        <v>961</v>
      </c>
      <c r="I568" s="12">
        <v>811044253</v>
      </c>
      <c r="J568" s="13" t="s">
        <v>311</v>
      </c>
      <c r="K568" s="14">
        <v>15</v>
      </c>
      <c r="L568" s="15" t="s">
        <v>250</v>
      </c>
      <c r="M568" s="16">
        <v>447058</v>
      </c>
      <c r="N568" s="16">
        <v>0</v>
      </c>
      <c r="O568" s="16">
        <f t="shared" si="17"/>
        <v>6705870</v>
      </c>
      <c r="P568" s="14" t="s">
        <v>136</v>
      </c>
    </row>
    <row r="569" spans="1:16" x14ac:dyDescent="0.3">
      <c r="A569" s="8" t="s">
        <v>976</v>
      </c>
      <c r="B569" s="9" t="s">
        <v>977</v>
      </c>
      <c r="C569" s="10" t="s">
        <v>978</v>
      </c>
      <c r="D569" s="11">
        <v>43914</v>
      </c>
      <c r="E569" s="11">
        <v>43914</v>
      </c>
      <c r="F569" s="31">
        <v>19313663</v>
      </c>
      <c r="G569" s="32">
        <v>0</v>
      </c>
      <c r="H569" s="8" t="s">
        <v>979</v>
      </c>
      <c r="I569" s="12">
        <v>92511814</v>
      </c>
      <c r="J569" s="13" t="s">
        <v>980</v>
      </c>
      <c r="K569" s="14">
        <v>229</v>
      </c>
      <c r="L569" s="15" t="s">
        <v>250</v>
      </c>
      <c r="M569" s="16">
        <v>34061</v>
      </c>
      <c r="N569" s="16">
        <f>M569*0.19</f>
        <v>6471.59</v>
      </c>
      <c r="O569" s="16">
        <f t="shared" si="17"/>
        <v>9281963.1099999994</v>
      </c>
      <c r="P569" s="14" t="s">
        <v>21</v>
      </c>
    </row>
    <row r="570" spans="1:16" x14ac:dyDescent="0.3">
      <c r="A570" s="8" t="s">
        <v>976</v>
      </c>
      <c r="B570" s="9" t="s">
        <v>977</v>
      </c>
      <c r="C570" s="10" t="s">
        <v>978</v>
      </c>
      <c r="D570" s="11">
        <v>43914</v>
      </c>
      <c r="E570" s="11">
        <v>43914</v>
      </c>
      <c r="F570" s="31">
        <v>19313663</v>
      </c>
      <c r="G570" s="32">
        <v>0</v>
      </c>
      <c r="H570" s="8" t="s">
        <v>979</v>
      </c>
      <c r="I570" s="12">
        <v>92511814</v>
      </c>
      <c r="J570" s="13" t="s">
        <v>981</v>
      </c>
      <c r="K570" s="14">
        <v>1500</v>
      </c>
      <c r="L570" s="15" t="s">
        <v>250</v>
      </c>
      <c r="M570" s="16">
        <f>420000/100</f>
        <v>4200</v>
      </c>
      <c r="N570" s="16">
        <f>M570*0.19</f>
        <v>798</v>
      </c>
      <c r="O570" s="16">
        <f t="shared" si="17"/>
        <v>7497000</v>
      </c>
      <c r="P570" s="14" t="s">
        <v>95</v>
      </c>
    </row>
    <row r="571" spans="1:16" x14ac:dyDescent="0.3">
      <c r="A571" s="8" t="s">
        <v>976</v>
      </c>
      <c r="B571" s="9" t="s">
        <v>977</v>
      </c>
      <c r="C571" s="10" t="s">
        <v>978</v>
      </c>
      <c r="D571" s="11">
        <v>43914</v>
      </c>
      <c r="E571" s="11">
        <v>43914</v>
      </c>
      <c r="F571" s="31">
        <v>19313663</v>
      </c>
      <c r="G571" s="32">
        <v>0</v>
      </c>
      <c r="H571" s="8" t="s">
        <v>979</v>
      </c>
      <c r="I571" s="12">
        <v>92511814</v>
      </c>
      <c r="J571" s="13" t="s">
        <v>1247</v>
      </c>
      <c r="K571" s="14">
        <v>120</v>
      </c>
      <c r="L571" s="18" t="s">
        <v>1277</v>
      </c>
      <c r="M571" s="16">
        <v>14000</v>
      </c>
      <c r="N571" s="16">
        <f>M571*0.19</f>
        <v>2660</v>
      </c>
      <c r="O571" s="16">
        <f t="shared" si="17"/>
        <v>1999200</v>
      </c>
      <c r="P571" s="14" t="s">
        <v>94</v>
      </c>
    </row>
    <row r="572" spans="1:16" x14ac:dyDescent="0.3">
      <c r="A572" s="8" t="s">
        <v>976</v>
      </c>
      <c r="B572" s="9" t="s">
        <v>977</v>
      </c>
      <c r="C572" s="10" t="s">
        <v>978</v>
      </c>
      <c r="D572" s="11">
        <v>43914</v>
      </c>
      <c r="E572" s="11">
        <v>43914</v>
      </c>
      <c r="F572" s="31">
        <v>19313663</v>
      </c>
      <c r="G572" s="32">
        <v>0</v>
      </c>
      <c r="H572" s="8" t="s">
        <v>979</v>
      </c>
      <c r="I572" s="12">
        <v>92511814</v>
      </c>
      <c r="J572" s="13" t="s">
        <v>1248</v>
      </c>
      <c r="K572" s="14">
        <v>10</v>
      </c>
      <c r="L572" s="15" t="s">
        <v>531</v>
      </c>
      <c r="M572" s="16">
        <v>45000</v>
      </c>
      <c r="N572" s="16">
        <f>M572*0.19</f>
        <v>8550</v>
      </c>
      <c r="O572" s="16">
        <f t="shared" si="17"/>
        <v>535500</v>
      </c>
      <c r="P572" s="14" t="s">
        <v>23</v>
      </c>
    </row>
    <row r="573" spans="1:16" x14ac:dyDescent="0.3">
      <c r="A573" s="8" t="s">
        <v>976</v>
      </c>
      <c r="B573" s="9" t="s">
        <v>982</v>
      </c>
      <c r="C573" s="10" t="s">
        <v>978</v>
      </c>
      <c r="D573" s="11">
        <v>43914</v>
      </c>
      <c r="E573" s="11">
        <v>43914</v>
      </c>
      <c r="F573" s="31">
        <v>0</v>
      </c>
      <c r="G573" s="32">
        <v>4134324</v>
      </c>
      <c r="H573" s="8" t="s">
        <v>979</v>
      </c>
      <c r="I573" s="12">
        <v>92511814</v>
      </c>
      <c r="J573" s="13" t="s">
        <v>980</v>
      </c>
      <c r="K573" s="14">
        <v>102</v>
      </c>
      <c r="L573" s="15" t="s">
        <v>250</v>
      </c>
      <c r="M573" s="16">
        <v>34061</v>
      </c>
      <c r="N573" s="16">
        <f>M573*0.19</f>
        <v>6471.59</v>
      </c>
      <c r="O573" s="16">
        <f t="shared" si="17"/>
        <v>4134324.1799999997</v>
      </c>
      <c r="P573" s="14" t="s">
        <v>21</v>
      </c>
    </row>
    <row r="574" spans="1:16" x14ac:dyDescent="0.3">
      <c r="A574" s="8" t="s">
        <v>976</v>
      </c>
      <c r="B574" s="9" t="s">
        <v>983</v>
      </c>
      <c r="C574" s="10" t="s">
        <v>984</v>
      </c>
      <c r="D574" s="11">
        <v>43917</v>
      </c>
      <c r="E574" s="11">
        <v>43917</v>
      </c>
      <c r="F574" s="31">
        <v>56500000</v>
      </c>
      <c r="G574" s="32">
        <v>0</v>
      </c>
      <c r="H574" s="8" t="s">
        <v>985</v>
      </c>
      <c r="I574" s="12">
        <v>92640352</v>
      </c>
      <c r="J574" s="13" t="s">
        <v>1408</v>
      </c>
      <c r="K574" s="14">
        <v>30</v>
      </c>
      <c r="L574" s="15" t="s">
        <v>250</v>
      </c>
      <c r="M574" s="16">
        <v>1685000</v>
      </c>
      <c r="N574" s="16">
        <v>0</v>
      </c>
      <c r="O574" s="16">
        <f t="shared" si="17"/>
        <v>50550000</v>
      </c>
      <c r="P574" s="14" t="s">
        <v>104</v>
      </c>
    </row>
    <row r="575" spans="1:16" x14ac:dyDescent="0.3">
      <c r="A575" s="8" t="s">
        <v>976</v>
      </c>
      <c r="B575" s="9" t="s">
        <v>983</v>
      </c>
      <c r="C575" s="10" t="s">
        <v>984</v>
      </c>
      <c r="D575" s="11">
        <v>43917</v>
      </c>
      <c r="E575" s="11">
        <v>43917</v>
      </c>
      <c r="F575" s="31">
        <v>56500000</v>
      </c>
      <c r="G575" s="32">
        <v>0</v>
      </c>
      <c r="H575" s="8" t="s">
        <v>985</v>
      </c>
      <c r="I575" s="12">
        <v>92640352</v>
      </c>
      <c r="J575" s="13" t="s">
        <v>986</v>
      </c>
      <c r="K575" s="14">
        <v>20</v>
      </c>
      <c r="L575" s="15" t="s">
        <v>1284</v>
      </c>
      <c r="M575" s="16">
        <v>250000</v>
      </c>
      <c r="N575" s="16">
        <f>M575*0.19</f>
        <v>47500</v>
      </c>
      <c r="O575" s="16">
        <f t="shared" ref="O575:O633" si="19">K575*(M575+N575)</f>
        <v>5950000</v>
      </c>
      <c r="P575" s="14" t="s">
        <v>118</v>
      </c>
    </row>
    <row r="576" spans="1:16" x14ac:dyDescent="0.3">
      <c r="A576" s="8" t="s">
        <v>976</v>
      </c>
      <c r="B576" s="9" t="s">
        <v>987</v>
      </c>
      <c r="C576" s="10" t="s">
        <v>978</v>
      </c>
      <c r="D576" s="11">
        <v>43937</v>
      </c>
      <c r="E576" s="11">
        <v>43937</v>
      </c>
      <c r="F576" s="31">
        <v>36963400</v>
      </c>
      <c r="G576" s="32">
        <v>0</v>
      </c>
      <c r="H576" s="8" t="s">
        <v>988</v>
      </c>
      <c r="I576" s="12">
        <v>901008660</v>
      </c>
      <c r="J576" s="13" t="s">
        <v>989</v>
      </c>
      <c r="K576" s="14">
        <v>200</v>
      </c>
      <c r="L576" s="15" t="s">
        <v>250</v>
      </c>
      <c r="M576" s="16">
        <v>5882</v>
      </c>
      <c r="N576" s="16">
        <v>0</v>
      </c>
      <c r="O576" s="16">
        <f t="shared" si="19"/>
        <v>1176400</v>
      </c>
      <c r="P576" s="14" t="s">
        <v>261</v>
      </c>
    </row>
    <row r="577" spans="1:16" x14ac:dyDescent="0.3">
      <c r="A577" s="8" t="s">
        <v>976</v>
      </c>
      <c r="B577" s="9" t="s">
        <v>987</v>
      </c>
      <c r="C577" s="10" t="s">
        <v>978</v>
      </c>
      <c r="D577" s="11">
        <v>43937</v>
      </c>
      <c r="E577" s="11">
        <v>43937</v>
      </c>
      <c r="F577" s="31">
        <v>36963400</v>
      </c>
      <c r="G577" s="32">
        <v>0</v>
      </c>
      <c r="H577" s="8" t="s">
        <v>988</v>
      </c>
      <c r="I577" s="12">
        <v>901008660</v>
      </c>
      <c r="J577" s="13" t="s">
        <v>990</v>
      </c>
      <c r="K577" s="14">
        <v>12000</v>
      </c>
      <c r="L577" s="15" t="s">
        <v>250</v>
      </c>
      <c r="M577" s="16">
        <f>235200/100</f>
        <v>2352</v>
      </c>
      <c r="N577" s="16">
        <v>0</v>
      </c>
      <c r="O577" s="16">
        <f t="shared" si="19"/>
        <v>28224000</v>
      </c>
      <c r="P577" s="14" t="s">
        <v>95</v>
      </c>
    </row>
    <row r="578" spans="1:16" x14ac:dyDescent="0.3">
      <c r="A578" s="8" t="s">
        <v>976</v>
      </c>
      <c r="B578" s="9" t="s">
        <v>987</v>
      </c>
      <c r="C578" s="10" t="s">
        <v>978</v>
      </c>
      <c r="D578" s="11">
        <v>43937</v>
      </c>
      <c r="E578" s="11">
        <v>43937</v>
      </c>
      <c r="F578" s="31">
        <v>36963400</v>
      </c>
      <c r="G578" s="32">
        <v>0</v>
      </c>
      <c r="H578" s="8" t="s">
        <v>988</v>
      </c>
      <c r="I578" s="12">
        <v>901008660</v>
      </c>
      <c r="J578" s="13" t="s">
        <v>1249</v>
      </c>
      <c r="K578" s="14">
        <v>200</v>
      </c>
      <c r="L578" s="18" t="s">
        <v>531</v>
      </c>
      <c r="M578" s="16">
        <v>37815</v>
      </c>
      <c r="N578" s="16">
        <v>0</v>
      </c>
      <c r="O578" s="16">
        <f t="shared" si="19"/>
        <v>7563000</v>
      </c>
      <c r="P578" s="14" t="s">
        <v>59</v>
      </c>
    </row>
    <row r="579" spans="1:16" x14ac:dyDescent="0.3">
      <c r="A579" s="8" t="s">
        <v>976</v>
      </c>
      <c r="B579" s="9" t="s">
        <v>991</v>
      </c>
      <c r="C579" s="10" t="s">
        <v>992</v>
      </c>
      <c r="D579" s="11">
        <v>43977</v>
      </c>
      <c r="E579" s="11">
        <v>43978</v>
      </c>
      <c r="F579" s="31">
        <v>3800000</v>
      </c>
      <c r="G579" s="32">
        <v>0</v>
      </c>
      <c r="H579" s="8" t="s">
        <v>993</v>
      </c>
      <c r="I579" s="12">
        <v>52516254</v>
      </c>
      <c r="J579" s="13" t="s">
        <v>994</v>
      </c>
      <c r="K579" s="14">
        <v>1</v>
      </c>
      <c r="L579" s="15" t="s">
        <v>250</v>
      </c>
      <c r="M579" s="16">
        <v>3800000</v>
      </c>
      <c r="N579" s="16">
        <v>0</v>
      </c>
      <c r="O579" s="16">
        <f t="shared" si="19"/>
        <v>3800000</v>
      </c>
      <c r="P579" s="14" t="s">
        <v>995</v>
      </c>
    </row>
    <row r="580" spans="1:16" x14ac:dyDescent="0.3">
      <c r="A580" s="8" t="s">
        <v>976</v>
      </c>
      <c r="B580" s="9" t="s">
        <v>996</v>
      </c>
      <c r="C580" s="10" t="s">
        <v>997</v>
      </c>
      <c r="D580" s="11">
        <v>43979</v>
      </c>
      <c r="E580" s="11">
        <v>43980</v>
      </c>
      <c r="F580" s="31">
        <v>12842000</v>
      </c>
      <c r="G580" s="32">
        <v>0</v>
      </c>
      <c r="H580" s="8" t="s">
        <v>998</v>
      </c>
      <c r="I580" s="12">
        <v>900151140</v>
      </c>
      <c r="J580" s="13" t="s">
        <v>999</v>
      </c>
      <c r="K580" s="14">
        <v>23</v>
      </c>
      <c r="L580" s="15" t="s">
        <v>251</v>
      </c>
      <c r="M580" s="16">
        <v>325000</v>
      </c>
      <c r="N580" s="16">
        <v>0</v>
      </c>
      <c r="O580" s="16">
        <f t="shared" si="19"/>
        <v>7475000</v>
      </c>
      <c r="P580" s="14" t="s">
        <v>196</v>
      </c>
    </row>
    <row r="581" spans="1:16" x14ac:dyDescent="0.3">
      <c r="A581" s="8" t="s">
        <v>976</v>
      </c>
      <c r="B581" s="9" t="s">
        <v>996</v>
      </c>
      <c r="C581" s="10" t="s">
        <v>997</v>
      </c>
      <c r="D581" s="11">
        <v>43979</v>
      </c>
      <c r="E581" s="11">
        <v>43980</v>
      </c>
      <c r="F581" s="31">
        <v>12842000</v>
      </c>
      <c r="G581" s="32">
        <v>0</v>
      </c>
      <c r="H581" s="8" t="s">
        <v>998</v>
      </c>
      <c r="I581" s="12">
        <v>900151140</v>
      </c>
      <c r="J581" s="13" t="s">
        <v>1000</v>
      </c>
      <c r="K581" s="14">
        <v>6</v>
      </c>
      <c r="L581" s="15" t="s">
        <v>251</v>
      </c>
      <c r="M581" s="16">
        <v>532000</v>
      </c>
      <c r="N581" s="16">
        <v>0</v>
      </c>
      <c r="O581" s="16">
        <f t="shared" si="19"/>
        <v>3192000</v>
      </c>
      <c r="P581" s="14" t="s">
        <v>196</v>
      </c>
    </row>
    <row r="582" spans="1:16" x14ac:dyDescent="0.3">
      <c r="A582" s="8" t="s">
        <v>976</v>
      </c>
      <c r="B582" s="9" t="s">
        <v>996</v>
      </c>
      <c r="C582" s="10" t="s">
        <v>997</v>
      </c>
      <c r="D582" s="11">
        <v>43979</v>
      </c>
      <c r="E582" s="11">
        <v>43980</v>
      </c>
      <c r="F582" s="31">
        <v>12842000</v>
      </c>
      <c r="G582" s="32">
        <v>0</v>
      </c>
      <c r="H582" s="8" t="s">
        <v>998</v>
      </c>
      <c r="I582" s="12">
        <v>900151140</v>
      </c>
      <c r="J582" s="13" t="s">
        <v>1449</v>
      </c>
      <c r="K582" s="24">
        <v>130.5</v>
      </c>
      <c r="L582" s="15" t="s">
        <v>172</v>
      </c>
      <c r="M582" s="16">
        <v>16667</v>
      </c>
      <c r="N582" s="16">
        <v>0</v>
      </c>
      <c r="O582" s="16">
        <f t="shared" si="19"/>
        <v>2175043.5</v>
      </c>
      <c r="P582" s="14" t="s">
        <v>34</v>
      </c>
    </row>
    <row r="583" spans="1:16" x14ac:dyDescent="0.3">
      <c r="A583" s="8" t="s">
        <v>976</v>
      </c>
      <c r="B583" s="9" t="s">
        <v>1001</v>
      </c>
      <c r="C583" s="10" t="s">
        <v>1002</v>
      </c>
      <c r="D583" s="11">
        <v>43980</v>
      </c>
      <c r="E583" s="11">
        <v>43980</v>
      </c>
      <c r="F583" s="31">
        <v>3624000</v>
      </c>
      <c r="G583" s="32">
        <v>0</v>
      </c>
      <c r="H583" s="8" t="s">
        <v>1003</v>
      </c>
      <c r="I583" s="12">
        <v>16471150</v>
      </c>
      <c r="J583" s="13" t="s">
        <v>1004</v>
      </c>
      <c r="K583" s="14">
        <v>995</v>
      </c>
      <c r="L583" s="15" t="s">
        <v>250</v>
      </c>
      <c r="M583" s="16">
        <v>3642.211055276382</v>
      </c>
      <c r="N583" s="16">
        <v>0</v>
      </c>
      <c r="O583" s="16">
        <f t="shared" si="19"/>
        <v>3624000</v>
      </c>
      <c r="P583" s="14" t="s">
        <v>237</v>
      </c>
    </row>
    <row r="584" spans="1:16" x14ac:dyDescent="0.3">
      <c r="A584" s="8" t="s">
        <v>976</v>
      </c>
      <c r="B584" s="9" t="s">
        <v>1005</v>
      </c>
      <c r="C584" s="10" t="s">
        <v>1006</v>
      </c>
      <c r="D584" s="11">
        <v>43990</v>
      </c>
      <c r="E584" s="11">
        <v>43990</v>
      </c>
      <c r="F584" s="31">
        <v>2909550</v>
      </c>
      <c r="G584" s="32">
        <v>0</v>
      </c>
      <c r="H584" s="8" t="s">
        <v>1007</v>
      </c>
      <c r="I584" s="12">
        <v>22866793</v>
      </c>
      <c r="J584" s="13" t="s">
        <v>1008</v>
      </c>
      <c r="K584" s="14">
        <v>15</v>
      </c>
      <c r="L584" s="15" t="s">
        <v>250</v>
      </c>
      <c r="M584" s="16">
        <v>163000</v>
      </c>
      <c r="N584" s="16">
        <f>M584*0.19</f>
        <v>30970</v>
      </c>
      <c r="O584" s="16">
        <f t="shared" si="19"/>
        <v>2909550</v>
      </c>
      <c r="P584" s="14" t="s">
        <v>1383</v>
      </c>
    </row>
    <row r="585" spans="1:16" x14ac:dyDescent="0.3">
      <c r="A585" s="8" t="s">
        <v>976</v>
      </c>
      <c r="B585" s="9" t="s">
        <v>1009</v>
      </c>
      <c r="C585" s="10" t="s">
        <v>1010</v>
      </c>
      <c r="D585" s="11">
        <v>44001</v>
      </c>
      <c r="E585" s="11">
        <v>44001</v>
      </c>
      <c r="F585" s="31">
        <v>36300000</v>
      </c>
      <c r="G585" s="32">
        <v>0</v>
      </c>
      <c r="H585" s="8" t="s">
        <v>1011</v>
      </c>
      <c r="I585" s="12">
        <v>92501255</v>
      </c>
      <c r="J585" s="13" t="s">
        <v>1012</v>
      </c>
      <c r="K585" s="14">
        <v>22</v>
      </c>
      <c r="L585" s="15" t="s">
        <v>250</v>
      </c>
      <c r="M585" s="16">
        <v>1650000</v>
      </c>
      <c r="N585" s="16">
        <v>0</v>
      </c>
      <c r="O585" s="16">
        <f t="shared" si="19"/>
        <v>36300000</v>
      </c>
      <c r="P585" s="14" t="s">
        <v>1274</v>
      </c>
    </row>
    <row r="586" spans="1:16" x14ac:dyDescent="0.3">
      <c r="A586" s="8" t="s">
        <v>976</v>
      </c>
      <c r="B586" s="9" t="s">
        <v>1013</v>
      </c>
      <c r="C586" s="10" t="s">
        <v>992</v>
      </c>
      <c r="D586" s="11">
        <v>44001</v>
      </c>
      <c r="E586" s="11">
        <v>43978</v>
      </c>
      <c r="F586" s="31">
        <v>0</v>
      </c>
      <c r="G586" s="32">
        <v>2700000</v>
      </c>
      <c r="H586" s="8" t="s">
        <v>993</v>
      </c>
      <c r="I586" s="12">
        <v>52516254</v>
      </c>
      <c r="J586" s="13" t="s">
        <v>994</v>
      </c>
      <c r="K586" s="14">
        <v>1</v>
      </c>
      <c r="L586" s="15" t="s">
        <v>250</v>
      </c>
      <c r="M586" s="16">
        <v>2700000</v>
      </c>
      <c r="N586" s="16">
        <v>0</v>
      </c>
      <c r="O586" s="16">
        <f t="shared" si="19"/>
        <v>2700000</v>
      </c>
      <c r="P586" s="14" t="s">
        <v>995</v>
      </c>
    </row>
    <row r="587" spans="1:16" x14ac:dyDescent="0.3">
      <c r="A587" s="8" t="s">
        <v>976</v>
      </c>
      <c r="B587" s="9" t="s">
        <v>1014</v>
      </c>
      <c r="C587" s="10" t="s">
        <v>1015</v>
      </c>
      <c r="D587" s="11">
        <v>44012</v>
      </c>
      <c r="E587" s="11">
        <v>44012</v>
      </c>
      <c r="F587" s="31">
        <v>3120000</v>
      </c>
      <c r="G587" s="32">
        <v>0</v>
      </c>
      <c r="H587" s="8" t="s">
        <v>1016</v>
      </c>
      <c r="I587" s="12">
        <v>92527655</v>
      </c>
      <c r="J587" s="13" t="s">
        <v>1017</v>
      </c>
      <c r="K587" s="14">
        <v>8</v>
      </c>
      <c r="L587" s="15" t="s">
        <v>402</v>
      </c>
      <c r="M587" s="16">
        <v>63025</v>
      </c>
      <c r="N587" s="16">
        <f t="shared" ref="N587:N592" si="20">M587*0.19</f>
        <v>11974.75</v>
      </c>
      <c r="O587" s="16">
        <f t="shared" si="19"/>
        <v>599998</v>
      </c>
      <c r="P587" s="14" t="s">
        <v>237</v>
      </c>
    </row>
    <row r="588" spans="1:16" x14ac:dyDescent="0.3">
      <c r="A588" s="8" t="s">
        <v>976</v>
      </c>
      <c r="B588" s="9" t="s">
        <v>1014</v>
      </c>
      <c r="C588" s="10" t="s">
        <v>1015</v>
      </c>
      <c r="D588" s="11">
        <v>44012</v>
      </c>
      <c r="E588" s="11">
        <v>44012</v>
      </c>
      <c r="F588" s="31">
        <v>3120000</v>
      </c>
      <c r="G588" s="32">
        <v>0</v>
      </c>
      <c r="H588" s="8" t="s">
        <v>1016</v>
      </c>
      <c r="I588" s="12">
        <v>92527655</v>
      </c>
      <c r="J588" s="13" t="s">
        <v>1018</v>
      </c>
      <c r="K588" s="14">
        <v>40</v>
      </c>
      <c r="L588" s="15" t="s">
        <v>1204</v>
      </c>
      <c r="M588" s="16">
        <f>30000/1.19</f>
        <v>25210.084033613446</v>
      </c>
      <c r="N588" s="16">
        <f t="shared" si="20"/>
        <v>4789.9159663865548</v>
      </c>
      <c r="O588" s="16">
        <f t="shared" si="19"/>
        <v>1200000</v>
      </c>
      <c r="P588" s="14" t="s">
        <v>237</v>
      </c>
    </row>
    <row r="589" spans="1:16" x14ac:dyDescent="0.3">
      <c r="A589" s="8" t="s">
        <v>976</v>
      </c>
      <c r="B589" s="9" t="s">
        <v>1014</v>
      </c>
      <c r="C589" s="10" t="s">
        <v>1015</v>
      </c>
      <c r="D589" s="11">
        <v>44012</v>
      </c>
      <c r="E589" s="11">
        <v>44012</v>
      </c>
      <c r="F589" s="31">
        <v>3120000</v>
      </c>
      <c r="G589" s="32">
        <v>0</v>
      </c>
      <c r="H589" s="8" t="s">
        <v>1016</v>
      </c>
      <c r="I589" s="12">
        <v>92527655</v>
      </c>
      <c r="J589" s="13" t="s">
        <v>1019</v>
      </c>
      <c r="K589" s="14">
        <v>60</v>
      </c>
      <c r="L589" s="15" t="s">
        <v>1390</v>
      </c>
      <c r="M589" s="16">
        <f>22000/1.19</f>
        <v>18487.394957983193</v>
      </c>
      <c r="N589" s="16">
        <f t="shared" si="20"/>
        <v>3512.6050420168067</v>
      </c>
      <c r="O589" s="16">
        <f t="shared" si="19"/>
        <v>1320000</v>
      </c>
      <c r="P589" s="14" t="s">
        <v>237</v>
      </c>
    </row>
    <row r="590" spans="1:16" x14ac:dyDescent="0.3">
      <c r="A590" s="8" t="s">
        <v>976</v>
      </c>
      <c r="B590" s="9" t="s">
        <v>1020</v>
      </c>
      <c r="C590" s="10" t="s">
        <v>1021</v>
      </c>
      <c r="D590" s="11">
        <v>44022</v>
      </c>
      <c r="E590" s="11">
        <v>44025</v>
      </c>
      <c r="F590" s="31">
        <v>140991200</v>
      </c>
      <c r="G590" s="32">
        <v>0</v>
      </c>
      <c r="H590" s="8" t="s">
        <v>1022</v>
      </c>
      <c r="I590" s="12">
        <v>900564459</v>
      </c>
      <c r="J590" s="13" t="s">
        <v>1023</v>
      </c>
      <c r="K590" s="14">
        <v>300</v>
      </c>
      <c r="L590" s="15" t="s">
        <v>250</v>
      </c>
      <c r="M590" s="16">
        <v>330000</v>
      </c>
      <c r="N590" s="16">
        <f t="shared" si="20"/>
        <v>62700</v>
      </c>
      <c r="O590" s="16">
        <f t="shared" si="19"/>
        <v>117810000</v>
      </c>
      <c r="P590" s="14" t="s">
        <v>162</v>
      </c>
    </row>
    <row r="591" spans="1:16" x14ac:dyDescent="0.3">
      <c r="A591" s="8" t="s">
        <v>976</v>
      </c>
      <c r="B591" s="9" t="s">
        <v>1020</v>
      </c>
      <c r="C591" s="10" t="s">
        <v>1021</v>
      </c>
      <c r="D591" s="11">
        <v>44022</v>
      </c>
      <c r="E591" s="11">
        <v>44025</v>
      </c>
      <c r="F591" s="31">
        <v>140991200</v>
      </c>
      <c r="G591" s="32">
        <v>0</v>
      </c>
      <c r="H591" s="8" t="s">
        <v>1022</v>
      </c>
      <c r="I591" s="12">
        <v>900564459</v>
      </c>
      <c r="J591" s="13" t="s">
        <v>1024</v>
      </c>
      <c r="K591" s="14">
        <v>300</v>
      </c>
      <c r="L591" s="15" t="s">
        <v>1250</v>
      </c>
      <c r="M591" s="16">
        <v>43600</v>
      </c>
      <c r="N591" s="16">
        <f t="shared" si="20"/>
        <v>8284</v>
      </c>
      <c r="O591" s="16">
        <f t="shared" si="19"/>
        <v>15565200</v>
      </c>
      <c r="P591" s="14" t="s">
        <v>1025</v>
      </c>
    </row>
    <row r="592" spans="1:16" x14ac:dyDescent="0.3">
      <c r="A592" s="8" t="s">
        <v>976</v>
      </c>
      <c r="B592" s="9" t="s">
        <v>1020</v>
      </c>
      <c r="C592" s="10" t="s">
        <v>1021</v>
      </c>
      <c r="D592" s="11">
        <v>44022</v>
      </c>
      <c r="E592" s="11">
        <v>44025</v>
      </c>
      <c r="F592" s="31">
        <v>140991200</v>
      </c>
      <c r="G592" s="32">
        <v>0</v>
      </c>
      <c r="H592" s="8" t="s">
        <v>1022</v>
      </c>
      <c r="I592" s="12">
        <v>900564459</v>
      </c>
      <c r="J592" s="13" t="s">
        <v>1026</v>
      </c>
      <c r="K592" s="14">
        <v>8</v>
      </c>
      <c r="L592" s="15" t="s">
        <v>250</v>
      </c>
      <c r="M592" s="16">
        <v>800000</v>
      </c>
      <c r="N592" s="16">
        <f t="shared" si="20"/>
        <v>152000</v>
      </c>
      <c r="O592" s="16">
        <f t="shared" si="19"/>
        <v>7616000</v>
      </c>
      <c r="P592" s="14" t="s">
        <v>1027</v>
      </c>
    </row>
    <row r="593" spans="1:16" x14ac:dyDescent="0.3">
      <c r="A593" s="8" t="s">
        <v>976</v>
      </c>
      <c r="B593" s="9" t="s">
        <v>1028</v>
      </c>
      <c r="C593" s="10" t="s">
        <v>1029</v>
      </c>
      <c r="D593" s="11">
        <v>43971</v>
      </c>
      <c r="E593" s="11">
        <v>43971</v>
      </c>
      <c r="F593" s="31">
        <v>14137298</v>
      </c>
      <c r="G593" s="32">
        <v>0</v>
      </c>
      <c r="H593" s="8" t="s">
        <v>1030</v>
      </c>
      <c r="I593" s="12">
        <v>66973463</v>
      </c>
      <c r="J593" s="13" t="s">
        <v>1251</v>
      </c>
      <c r="K593" s="14">
        <f>94*100</f>
        <v>9400</v>
      </c>
      <c r="L593" s="15" t="s">
        <v>250</v>
      </c>
      <c r="M593" s="16">
        <f>148925.53/100</f>
        <v>1489.2553</v>
      </c>
      <c r="N593" s="16">
        <v>0</v>
      </c>
      <c r="O593" s="16">
        <f t="shared" si="19"/>
        <v>13998999.82</v>
      </c>
      <c r="P593" s="14" t="s">
        <v>95</v>
      </c>
    </row>
    <row r="594" spans="1:16" x14ac:dyDescent="0.3">
      <c r="A594" s="8" t="s">
        <v>976</v>
      </c>
      <c r="B594" s="9" t="s">
        <v>1031</v>
      </c>
      <c r="C594" s="10" t="s">
        <v>1029</v>
      </c>
      <c r="D594" s="11">
        <v>43974</v>
      </c>
      <c r="E594" s="11">
        <v>43974</v>
      </c>
      <c r="F594" s="31">
        <v>27680850.550000001</v>
      </c>
      <c r="G594" s="32">
        <v>0</v>
      </c>
      <c r="H594" s="8" t="s">
        <v>224</v>
      </c>
      <c r="I594" s="12">
        <v>900300970</v>
      </c>
      <c r="J594" s="13" t="s">
        <v>1252</v>
      </c>
      <c r="K594" s="14">
        <v>20000</v>
      </c>
      <c r="L594" s="15" t="s">
        <v>250</v>
      </c>
      <c r="M594" s="16">
        <f>137234.04/100</f>
        <v>1372.3404</v>
      </c>
      <c r="N594" s="16">
        <v>0</v>
      </c>
      <c r="O594" s="16">
        <f t="shared" si="19"/>
        <v>27446808</v>
      </c>
      <c r="P594" s="14" t="s">
        <v>95</v>
      </c>
    </row>
    <row r="595" spans="1:16" x14ac:dyDescent="0.3">
      <c r="A595" s="8" t="s">
        <v>976</v>
      </c>
      <c r="B595" s="9" t="s">
        <v>1032</v>
      </c>
      <c r="C595" s="10" t="s">
        <v>1029</v>
      </c>
      <c r="D595" s="11">
        <v>43979</v>
      </c>
      <c r="E595" s="11">
        <v>43979</v>
      </c>
      <c r="F595" s="31">
        <v>2297873</v>
      </c>
      <c r="G595" s="32">
        <v>0</v>
      </c>
      <c r="H595" s="8" t="s">
        <v>1033</v>
      </c>
      <c r="I595" s="12">
        <v>901104771</v>
      </c>
      <c r="J595" s="13" t="s">
        <v>1034</v>
      </c>
      <c r="K595" s="14">
        <v>757</v>
      </c>
      <c r="L595" s="15" t="s">
        <v>172</v>
      </c>
      <c r="M595" s="16">
        <v>2614</v>
      </c>
      <c r="N595" s="16">
        <v>0</v>
      </c>
      <c r="O595" s="16">
        <f t="shared" si="19"/>
        <v>1978798</v>
      </c>
      <c r="P595" s="14" t="s">
        <v>1398</v>
      </c>
    </row>
    <row r="596" spans="1:16" x14ac:dyDescent="0.3">
      <c r="A596" s="8" t="s">
        <v>976</v>
      </c>
      <c r="B596" s="9" t="s">
        <v>1035</v>
      </c>
      <c r="C596" s="10" t="s">
        <v>1029</v>
      </c>
      <c r="D596" s="11">
        <v>43979</v>
      </c>
      <c r="E596" s="11">
        <v>43979</v>
      </c>
      <c r="F596" s="31">
        <v>1729522.14</v>
      </c>
      <c r="G596" s="32">
        <v>0</v>
      </c>
      <c r="H596" s="8" t="s">
        <v>951</v>
      </c>
      <c r="I596" s="12">
        <v>805023817</v>
      </c>
      <c r="J596" s="13" t="s">
        <v>1457</v>
      </c>
      <c r="K596" s="24">
        <v>189</v>
      </c>
      <c r="L596" s="15" t="s">
        <v>172</v>
      </c>
      <c r="M596" s="16">
        <v>7869.75</v>
      </c>
      <c r="N596" s="16">
        <v>0</v>
      </c>
      <c r="O596" s="16">
        <f t="shared" si="19"/>
        <v>1487382.75</v>
      </c>
      <c r="P596" s="14" t="s">
        <v>96</v>
      </c>
    </row>
    <row r="597" spans="1:16" x14ac:dyDescent="0.3">
      <c r="A597" s="8" t="s">
        <v>976</v>
      </c>
      <c r="B597" s="9" t="s">
        <v>1036</v>
      </c>
      <c r="C597" s="10" t="s">
        <v>1037</v>
      </c>
      <c r="D597" s="11">
        <v>43986</v>
      </c>
      <c r="E597" s="11">
        <v>43986</v>
      </c>
      <c r="F597" s="31">
        <v>12492569</v>
      </c>
      <c r="G597" s="32">
        <v>0</v>
      </c>
      <c r="H597" s="8" t="s">
        <v>58</v>
      </c>
      <c r="I597" s="12">
        <v>900350133</v>
      </c>
      <c r="J597" s="13" t="s">
        <v>1253</v>
      </c>
      <c r="K597" s="14">
        <f>4704/3</f>
        <v>1568</v>
      </c>
      <c r="L597" s="18" t="s">
        <v>1277</v>
      </c>
      <c r="M597" s="16">
        <v>5212.7700000000004</v>
      </c>
      <c r="N597" s="16">
        <f>M597*0.19</f>
        <v>990.42630000000008</v>
      </c>
      <c r="O597" s="16">
        <f t="shared" si="19"/>
        <v>9726611.7984000016</v>
      </c>
      <c r="P597" s="14" t="s">
        <v>94</v>
      </c>
    </row>
    <row r="598" spans="1:16" x14ac:dyDescent="0.3">
      <c r="A598" s="8" t="s">
        <v>976</v>
      </c>
      <c r="B598" s="9" t="s">
        <v>1038</v>
      </c>
      <c r="C598" s="10" t="s">
        <v>1037</v>
      </c>
      <c r="D598" s="11">
        <v>43986</v>
      </c>
      <c r="E598" s="11">
        <v>43986</v>
      </c>
      <c r="F598" s="31">
        <v>4440238.3</v>
      </c>
      <c r="G598" s="32">
        <v>0</v>
      </c>
      <c r="H598" s="8" t="s">
        <v>249</v>
      </c>
      <c r="I598" s="12">
        <v>900567130</v>
      </c>
      <c r="J598" s="13" t="s">
        <v>1490</v>
      </c>
      <c r="K598" s="14">
        <v>787</v>
      </c>
      <c r="L598" s="18" t="s">
        <v>172</v>
      </c>
      <c r="M598" s="16">
        <v>4610</v>
      </c>
      <c r="N598" s="16">
        <v>0</v>
      </c>
      <c r="O598" s="16">
        <f t="shared" si="19"/>
        <v>3628070</v>
      </c>
      <c r="P598" s="14" t="s">
        <v>36</v>
      </c>
    </row>
    <row r="599" spans="1:16" x14ac:dyDescent="0.3">
      <c r="A599" s="8" t="s">
        <v>976</v>
      </c>
      <c r="B599" s="9" t="s">
        <v>1039</v>
      </c>
      <c r="C599" s="10" t="s">
        <v>1040</v>
      </c>
      <c r="D599" s="11">
        <v>43987</v>
      </c>
      <c r="E599" s="11">
        <v>43987</v>
      </c>
      <c r="F599" s="31">
        <v>4308511.47</v>
      </c>
      <c r="G599" s="32">
        <v>0</v>
      </c>
      <c r="H599" s="8" t="s">
        <v>230</v>
      </c>
      <c r="I599" s="12">
        <v>860062147</v>
      </c>
      <c r="J599" s="13" t="s">
        <v>231</v>
      </c>
      <c r="K599" s="14">
        <v>300</v>
      </c>
      <c r="L599" s="15" t="s">
        <v>250</v>
      </c>
      <c r="M599" s="16">
        <v>13829.79</v>
      </c>
      <c r="N599" s="16">
        <v>0</v>
      </c>
      <c r="O599" s="16">
        <f t="shared" si="19"/>
        <v>4148937.0000000005</v>
      </c>
      <c r="P599" s="14" t="s">
        <v>232</v>
      </c>
    </row>
    <row r="600" spans="1:16" x14ac:dyDescent="0.3">
      <c r="A600" s="8" t="s">
        <v>976</v>
      </c>
      <c r="B600" s="9" t="s">
        <v>1041</v>
      </c>
      <c r="C600" s="10" t="s">
        <v>1042</v>
      </c>
      <c r="D600" s="11">
        <v>43992</v>
      </c>
      <c r="E600" s="11">
        <v>43992</v>
      </c>
      <c r="F600" s="31">
        <v>9148936.2300000004</v>
      </c>
      <c r="G600" s="32">
        <v>0</v>
      </c>
      <c r="H600" s="8" t="s">
        <v>1043</v>
      </c>
      <c r="I600" s="12">
        <v>900257066</v>
      </c>
      <c r="J600" s="13" t="s">
        <v>1044</v>
      </c>
      <c r="K600" s="14">
        <v>25</v>
      </c>
      <c r="L600" s="15" t="s">
        <v>250</v>
      </c>
      <c r="M600" s="16">
        <v>361702.13</v>
      </c>
      <c r="N600" s="16">
        <v>0</v>
      </c>
      <c r="O600" s="16">
        <f t="shared" si="19"/>
        <v>9042553.25</v>
      </c>
      <c r="P600" s="14" t="s">
        <v>136</v>
      </c>
    </row>
    <row r="601" spans="1:16" x14ac:dyDescent="0.3">
      <c r="A601" s="8" t="s">
        <v>976</v>
      </c>
      <c r="B601" s="9" t="s">
        <v>1045</v>
      </c>
      <c r="C601" s="10" t="s">
        <v>1046</v>
      </c>
      <c r="D601" s="11">
        <v>43993</v>
      </c>
      <c r="E601" s="11">
        <v>43993</v>
      </c>
      <c r="F601" s="31">
        <v>3262680</v>
      </c>
      <c r="G601" s="32">
        <v>0</v>
      </c>
      <c r="H601" s="8" t="s">
        <v>200</v>
      </c>
      <c r="I601" s="12">
        <v>830037946</v>
      </c>
      <c r="J601" s="13" t="s">
        <v>1047</v>
      </c>
      <c r="K601" s="14">
        <v>54</v>
      </c>
      <c r="L601" s="15" t="s">
        <v>250</v>
      </c>
      <c r="M601" s="16">
        <v>57000</v>
      </c>
      <c r="N601" s="16">
        <f>M601*0.06</f>
        <v>3420</v>
      </c>
      <c r="O601" s="16">
        <f t="shared" si="19"/>
        <v>3262680</v>
      </c>
      <c r="P601" s="14" t="s">
        <v>383</v>
      </c>
    </row>
    <row r="602" spans="1:16" x14ac:dyDescent="0.3">
      <c r="A602" s="8" t="s">
        <v>976</v>
      </c>
      <c r="B602" s="9" t="s">
        <v>1048</v>
      </c>
      <c r="C602" s="10" t="s">
        <v>1049</v>
      </c>
      <c r="D602" s="11">
        <v>43998</v>
      </c>
      <c r="E602" s="11">
        <v>43998</v>
      </c>
      <c r="F602" s="31">
        <v>7473404</v>
      </c>
      <c r="G602" s="32">
        <v>0</v>
      </c>
      <c r="H602" s="8" t="s">
        <v>227</v>
      </c>
      <c r="I602" s="12">
        <v>900704052</v>
      </c>
      <c r="J602" s="13" t="s">
        <v>1455</v>
      </c>
      <c r="K602" s="24">
        <v>549</v>
      </c>
      <c r="L602" s="15" t="s">
        <v>172</v>
      </c>
      <c r="M602" s="16">
        <v>12648</v>
      </c>
      <c r="N602" s="16">
        <v>0</v>
      </c>
      <c r="O602" s="16">
        <f t="shared" si="19"/>
        <v>6943752</v>
      </c>
      <c r="P602" s="14" t="s">
        <v>96</v>
      </c>
    </row>
    <row r="603" spans="1:16" x14ac:dyDescent="0.3">
      <c r="A603" s="8" t="s">
        <v>976</v>
      </c>
      <c r="B603" s="9" t="s">
        <v>1050</v>
      </c>
      <c r="C603" s="10" t="s">
        <v>1051</v>
      </c>
      <c r="D603" s="11">
        <v>44008</v>
      </c>
      <c r="E603" s="11">
        <v>44008</v>
      </c>
      <c r="F603" s="31">
        <v>5828191.8300000001</v>
      </c>
      <c r="G603" s="32">
        <v>0</v>
      </c>
      <c r="H603" s="8" t="s">
        <v>224</v>
      </c>
      <c r="I603" s="12">
        <v>900300970</v>
      </c>
      <c r="J603" s="13" t="s">
        <v>444</v>
      </c>
      <c r="K603" s="14">
        <v>115</v>
      </c>
      <c r="L603" s="18" t="s">
        <v>531</v>
      </c>
      <c r="M603" s="16">
        <v>49893.62</v>
      </c>
      <c r="N603" s="16">
        <v>0</v>
      </c>
      <c r="O603" s="16">
        <f t="shared" si="19"/>
        <v>5737766.3000000007</v>
      </c>
      <c r="P603" s="14" t="s">
        <v>59</v>
      </c>
    </row>
    <row r="604" spans="1:16" x14ac:dyDescent="0.3">
      <c r="A604" s="8" t="s">
        <v>976</v>
      </c>
      <c r="B604" s="9" t="s">
        <v>1052</v>
      </c>
      <c r="C604" s="10" t="s">
        <v>1053</v>
      </c>
      <c r="D604" s="11">
        <v>44033</v>
      </c>
      <c r="E604" s="11">
        <v>44033</v>
      </c>
      <c r="F604" s="31">
        <v>5100093</v>
      </c>
      <c r="G604" s="32">
        <v>0</v>
      </c>
      <c r="H604" s="8" t="s">
        <v>1054</v>
      </c>
      <c r="I604" s="12">
        <v>811008383</v>
      </c>
      <c r="J604" s="13" t="s">
        <v>96</v>
      </c>
      <c r="K604" s="24">
        <v>1022</v>
      </c>
      <c r="L604" s="15" t="s">
        <v>172</v>
      </c>
      <c r="M604" s="16">
        <v>4413</v>
      </c>
      <c r="N604" s="16">
        <v>0</v>
      </c>
      <c r="O604" s="16">
        <f t="shared" si="19"/>
        <v>4510086</v>
      </c>
      <c r="P604" s="14" t="s">
        <v>96</v>
      </c>
    </row>
    <row r="605" spans="1:16" x14ac:dyDescent="0.3">
      <c r="A605" s="8" t="s">
        <v>976</v>
      </c>
      <c r="B605" s="9" t="s">
        <v>1254</v>
      </c>
      <c r="C605" s="10" t="s">
        <v>1255</v>
      </c>
      <c r="D605" s="11">
        <v>47430</v>
      </c>
      <c r="E605" s="11">
        <v>43907</v>
      </c>
      <c r="F605" s="31">
        <v>0</v>
      </c>
      <c r="G605" s="32">
        <v>5308690</v>
      </c>
      <c r="H605" s="8" t="s">
        <v>1256</v>
      </c>
      <c r="I605" s="12">
        <v>800209088</v>
      </c>
      <c r="J605" s="13" t="s">
        <v>1257</v>
      </c>
      <c r="K605" s="14">
        <v>10</v>
      </c>
      <c r="L605" s="15" t="s">
        <v>1281</v>
      </c>
      <c r="M605" s="16">
        <v>530869</v>
      </c>
      <c r="N605" s="16">
        <v>0</v>
      </c>
      <c r="O605" s="16">
        <f t="shared" si="19"/>
        <v>5308690</v>
      </c>
      <c r="P605" s="14" t="s">
        <v>1403</v>
      </c>
    </row>
    <row r="606" spans="1:16" x14ac:dyDescent="0.3">
      <c r="A606" s="8" t="s">
        <v>976</v>
      </c>
      <c r="B606" s="9" t="s">
        <v>1258</v>
      </c>
      <c r="C606" s="10" t="s">
        <v>1259</v>
      </c>
      <c r="D606" s="11">
        <v>43770</v>
      </c>
      <c r="E606" s="11">
        <v>43906</v>
      </c>
      <c r="F606" s="31">
        <v>0</v>
      </c>
      <c r="G606" s="32">
        <v>31068000</v>
      </c>
      <c r="H606" s="8" t="s">
        <v>1260</v>
      </c>
      <c r="I606" s="12">
        <v>812000152</v>
      </c>
      <c r="J606" s="13" t="s">
        <v>1261</v>
      </c>
      <c r="K606" s="24">
        <v>400</v>
      </c>
      <c r="L606" s="15" t="s">
        <v>172</v>
      </c>
      <c r="M606" s="16">
        <v>11000</v>
      </c>
      <c r="N606" s="16">
        <v>0</v>
      </c>
      <c r="O606" s="16">
        <f t="shared" si="19"/>
        <v>4400000</v>
      </c>
      <c r="P606" s="14" t="s">
        <v>1375</v>
      </c>
    </row>
    <row r="607" spans="1:16" x14ac:dyDescent="0.3">
      <c r="A607" s="8" t="s">
        <v>976</v>
      </c>
      <c r="B607" s="9" t="s">
        <v>1258</v>
      </c>
      <c r="C607" s="10" t="s">
        <v>1259</v>
      </c>
      <c r="D607" s="11">
        <v>43770</v>
      </c>
      <c r="E607" s="11">
        <v>43936</v>
      </c>
      <c r="F607" s="31">
        <v>0</v>
      </c>
      <c r="G607" s="32">
        <v>31068000</v>
      </c>
      <c r="H607" s="8" t="s">
        <v>1260</v>
      </c>
      <c r="I607" s="12">
        <v>812000152</v>
      </c>
      <c r="J607" s="13" t="s">
        <v>1262</v>
      </c>
      <c r="K607" s="14">
        <v>400</v>
      </c>
      <c r="L607" s="18" t="s">
        <v>172</v>
      </c>
      <c r="M607" s="16">
        <v>6000</v>
      </c>
      <c r="N607" s="16">
        <v>0</v>
      </c>
      <c r="O607" s="16">
        <f t="shared" si="19"/>
        <v>2400000</v>
      </c>
      <c r="P607" s="14" t="s">
        <v>36</v>
      </c>
    </row>
    <row r="608" spans="1:16" x14ac:dyDescent="0.3">
      <c r="A608" s="8" t="s">
        <v>976</v>
      </c>
      <c r="B608" s="9" t="s">
        <v>1258</v>
      </c>
      <c r="C608" s="10" t="s">
        <v>1259</v>
      </c>
      <c r="D608" s="11">
        <v>43770</v>
      </c>
      <c r="E608" s="11">
        <v>43936</v>
      </c>
      <c r="F608" s="31">
        <v>0</v>
      </c>
      <c r="G608" s="32">
        <v>31068000</v>
      </c>
      <c r="H608" s="8" t="s">
        <v>1260</v>
      </c>
      <c r="I608" s="12">
        <v>812000152</v>
      </c>
      <c r="J608" s="13" t="s">
        <v>1263</v>
      </c>
      <c r="K608" s="14">
        <v>76</v>
      </c>
      <c r="L608" s="18" t="s">
        <v>172</v>
      </c>
      <c r="M608" s="16">
        <v>3170</v>
      </c>
      <c r="N608" s="16">
        <v>0</v>
      </c>
      <c r="O608" s="16">
        <f t="shared" si="19"/>
        <v>240920</v>
      </c>
      <c r="P608" s="14" t="s">
        <v>1264</v>
      </c>
    </row>
    <row r="609" spans="1:16" x14ac:dyDescent="0.3">
      <c r="A609" s="8" t="s">
        <v>976</v>
      </c>
      <c r="B609" s="9" t="s">
        <v>1258</v>
      </c>
      <c r="C609" s="10" t="s">
        <v>1259</v>
      </c>
      <c r="D609" s="11">
        <v>43770</v>
      </c>
      <c r="E609" s="11">
        <v>43936</v>
      </c>
      <c r="F609" s="31">
        <v>0</v>
      </c>
      <c r="G609" s="32">
        <v>31068000</v>
      </c>
      <c r="H609" s="8" t="s">
        <v>1260</v>
      </c>
      <c r="I609" s="12">
        <v>812000152</v>
      </c>
      <c r="J609" s="13" t="s">
        <v>444</v>
      </c>
      <c r="K609" s="14">
        <f>30/2</f>
        <v>15</v>
      </c>
      <c r="L609" s="18" t="s">
        <v>531</v>
      </c>
      <c r="M609" s="16">
        <f>22000*2</f>
        <v>44000</v>
      </c>
      <c r="N609" s="16">
        <v>0</v>
      </c>
      <c r="O609" s="16">
        <f t="shared" si="19"/>
        <v>660000</v>
      </c>
      <c r="P609" s="14" t="s">
        <v>59</v>
      </c>
    </row>
    <row r="610" spans="1:16" x14ac:dyDescent="0.3">
      <c r="A610" s="8" t="s">
        <v>976</v>
      </c>
      <c r="B610" s="9" t="s">
        <v>1258</v>
      </c>
      <c r="C610" s="10" t="s">
        <v>1259</v>
      </c>
      <c r="D610" s="11">
        <v>43770</v>
      </c>
      <c r="E610" s="11">
        <v>43936</v>
      </c>
      <c r="F610" s="31">
        <v>0</v>
      </c>
      <c r="G610" s="32">
        <v>31068000</v>
      </c>
      <c r="H610" s="8" t="s">
        <v>1260</v>
      </c>
      <c r="I610" s="12">
        <v>812000152</v>
      </c>
      <c r="J610" s="13" t="s">
        <v>1265</v>
      </c>
      <c r="K610" s="14">
        <v>400</v>
      </c>
      <c r="L610" s="18" t="s">
        <v>172</v>
      </c>
      <c r="M610" s="16">
        <v>1750</v>
      </c>
      <c r="N610" s="16">
        <v>0</v>
      </c>
      <c r="O610" s="16">
        <f t="shared" si="19"/>
        <v>700000</v>
      </c>
      <c r="P610" s="14" t="s">
        <v>1266</v>
      </c>
    </row>
    <row r="611" spans="1:16" x14ac:dyDescent="0.3">
      <c r="A611" s="8" t="s">
        <v>976</v>
      </c>
      <c r="B611" s="9" t="s">
        <v>1258</v>
      </c>
      <c r="C611" s="10" t="s">
        <v>1259</v>
      </c>
      <c r="D611" s="11">
        <v>43770</v>
      </c>
      <c r="E611" s="11">
        <v>43936</v>
      </c>
      <c r="F611" s="31">
        <v>0</v>
      </c>
      <c r="G611" s="32">
        <v>31068000</v>
      </c>
      <c r="H611" s="8" t="s">
        <v>1260</v>
      </c>
      <c r="I611" s="12">
        <v>812000152</v>
      </c>
      <c r="J611" s="13" t="s">
        <v>1267</v>
      </c>
      <c r="K611" s="14">
        <v>100</v>
      </c>
      <c r="L611" s="15" t="s">
        <v>250</v>
      </c>
      <c r="M611" s="16">
        <v>4200</v>
      </c>
      <c r="N611" s="16">
        <v>0</v>
      </c>
      <c r="O611" s="16">
        <f t="shared" si="19"/>
        <v>420000</v>
      </c>
      <c r="P611" s="14" t="s">
        <v>1398</v>
      </c>
    </row>
    <row r="612" spans="1:16" x14ac:dyDescent="0.3">
      <c r="A612" s="8" t="s">
        <v>976</v>
      </c>
      <c r="B612" s="9" t="s">
        <v>1258</v>
      </c>
      <c r="C612" s="10" t="s">
        <v>1259</v>
      </c>
      <c r="D612" s="11">
        <v>43770</v>
      </c>
      <c r="E612" s="11">
        <v>43936</v>
      </c>
      <c r="F612" s="31">
        <v>0</v>
      </c>
      <c r="G612" s="32">
        <v>31068000</v>
      </c>
      <c r="H612" s="8" t="s">
        <v>1260</v>
      </c>
      <c r="I612" s="12">
        <v>812000152</v>
      </c>
      <c r="J612" s="13" t="s">
        <v>1268</v>
      </c>
      <c r="K612" s="14">
        <v>6500</v>
      </c>
      <c r="L612" s="15" t="s">
        <v>250</v>
      </c>
      <c r="M612" s="16">
        <f>180000/100</f>
        <v>1800</v>
      </c>
      <c r="N612" s="16">
        <v>0</v>
      </c>
      <c r="O612" s="16">
        <f t="shared" si="19"/>
        <v>11700000</v>
      </c>
      <c r="P612" s="14" t="s">
        <v>95</v>
      </c>
    </row>
    <row r="613" spans="1:16" x14ac:dyDescent="0.3">
      <c r="A613" s="8" t="s">
        <v>976</v>
      </c>
      <c r="B613" s="9" t="s">
        <v>1258</v>
      </c>
      <c r="C613" s="10" t="s">
        <v>1259</v>
      </c>
      <c r="D613" s="11">
        <v>43770</v>
      </c>
      <c r="E613" s="11">
        <v>43936</v>
      </c>
      <c r="F613" s="31">
        <v>0</v>
      </c>
      <c r="G613" s="32">
        <v>31068000</v>
      </c>
      <c r="H613" s="8" t="s">
        <v>1260</v>
      </c>
      <c r="I613" s="12">
        <v>812000152</v>
      </c>
      <c r="J613" s="13" t="s">
        <v>1261</v>
      </c>
      <c r="K613" s="24">
        <v>400</v>
      </c>
      <c r="L613" s="18" t="s">
        <v>172</v>
      </c>
      <c r="M613" s="16">
        <v>11000</v>
      </c>
      <c r="N613" s="16">
        <v>0</v>
      </c>
      <c r="O613" s="16">
        <f t="shared" si="19"/>
        <v>4400000</v>
      </c>
      <c r="P613" s="14" t="s">
        <v>1375</v>
      </c>
    </row>
    <row r="614" spans="1:16" x14ac:dyDescent="0.3">
      <c r="A614" s="8" t="s">
        <v>976</v>
      </c>
      <c r="B614" s="9" t="s">
        <v>1258</v>
      </c>
      <c r="C614" s="10" t="s">
        <v>1259</v>
      </c>
      <c r="D614" s="11">
        <v>43770</v>
      </c>
      <c r="E614" s="11">
        <v>43936</v>
      </c>
      <c r="F614" s="31">
        <v>0</v>
      </c>
      <c r="G614" s="32">
        <v>31068000</v>
      </c>
      <c r="H614" s="8" t="s">
        <v>1260</v>
      </c>
      <c r="I614" s="12">
        <v>812000152</v>
      </c>
      <c r="J614" s="13" t="s">
        <v>1262</v>
      </c>
      <c r="K614" s="14">
        <v>400</v>
      </c>
      <c r="L614" s="18" t="s">
        <v>172</v>
      </c>
      <c r="M614" s="16">
        <v>6000</v>
      </c>
      <c r="N614" s="16">
        <v>0</v>
      </c>
      <c r="O614" s="16">
        <f t="shared" si="19"/>
        <v>2400000</v>
      </c>
      <c r="P614" s="14" t="s">
        <v>36</v>
      </c>
    </row>
    <row r="615" spans="1:16" x14ac:dyDescent="0.3">
      <c r="A615" s="8" t="s">
        <v>976</v>
      </c>
      <c r="B615" s="9" t="s">
        <v>1258</v>
      </c>
      <c r="C615" s="10" t="s">
        <v>1259</v>
      </c>
      <c r="D615" s="11">
        <v>43770</v>
      </c>
      <c r="E615" s="11">
        <v>43936</v>
      </c>
      <c r="F615" s="31">
        <v>0</v>
      </c>
      <c r="G615" s="32">
        <v>31068000</v>
      </c>
      <c r="H615" s="8" t="s">
        <v>1260</v>
      </c>
      <c r="I615" s="12">
        <v>812000152</v>
      </c>
      <c r="J615" s="13" t="s">
        <v>1263</v>
      </c>
      <c r="K615" s="14">
        <v>114</v>
      </c>
      <c r="L615" s="18" t="s">
        <v>172</v>
      </c>
      <c r="M615" s="16">
        <v>3170</v>
      </c>
      <c r="N615" s="16">
        <v>0</v>
      </c>
      <c r="O615" s="16">
        <f t="shared" si="19"/>
        <v>361380</v>
      </c>
      <c r="P615" s="14" t="s">
        <v>1264</v>
      </c>
    </row>
    <row r="616" spans="1:16" x14ac:dyDescent="0.3">
      <c r="A616" s="8" t="s">
        <v>976</v>
      </c>
      <c r="B616" s="9" t="s">
        <v>1258</v>
      </c>
      <c r="C616" s="10" t="s">
        <v>1259</v>
      </c>
      <c r="D616" s="11">
        <v>43770</v>
      </c>
      <c r="E616" s="11">
        <v>43936</v>
      </c>
      <c r="F616" s="31">
        <v>0</v>
      </c>
      <c r="G616" s="32">
        <v>31068000</v>
      </c>
      <c r="H616" s="8" t="s">
        <v>1260</v>
      </c>
      <c r="I616" s="12">
        <v>812000152</v>
      </c>
      <c r="J616" s="13" t="s">
        <v>1265</v>
      </c>
      <c r="K616" s="14">
        <v>379</v>
      </c>
      <c r="L616" s="18" t="s">
        <v>172</v>
      </c>
      <c r="M616" s="16">
        <v>1849</v>
      </c>
      <c r="N616" s="16">
        <v>0</v>
      </c>
      <c r="O616" s="16">
        <f t="shared" si="19"/>
        <v>700771</v>
      </c>
      <c r="P616" s="14" t="s">
        <v>1266</v>
      </c>
    </row>
    <row r="617" spans="1:16" x14ac:dyDescent="0.3">
      <c r="A617" s="8" t="s">
        <v>976</v>
      </c>
      <c r="B617" s="9" t="s">
        <v>1258</v>
      </c>
      <c r="C617" s="10" t="s">
        <v>1259</v>
      </c>
      <c r="D617" s="11">
        <v>43770</v>
      </c>
      <c r="E617" s="11">
        <v>43980</v>
      </c>
      <c r="F617" s="31">
        <v>0</v>
      </c>
      <c r="G617" s="32">
        <v>31068000</v>
      </c>
      <c r="H617" s="8" t="s">
        <v>1260</v>
      </c>
      <c r="I617" s="12">
        <v>812000152</v>
      </c>
      <c r="J617" s="13" t="s">
        <v>1253</v>
      </c>
      <c r="K617" s="14">
        <v>672</v>
      </c>
      <c r="L617" s="18" t="s">
        <v>1277</v>
      </c>
      <c r="M617" s="16">
        <v>4000</v>
      </c>
      <c r="N617" s="16">
        <v>0</v>
      </c>
      <c r="O617" s="16">
        <f t="shared" si="19"/>
        <v>2688000</v>
      </c>
      <c r="P617" s="14" t="s">
        <v>94</v>
      </c>
    </row>
    <row r="618" spans="1:16" x14ac:dyDescent="0.3">
      <c r="A618" s="8" t="s">
        <v>1055</v>
      </c>
      <c r="B618" s="9" t="s">
        <v>1056</v>
      </c>
      <c r="C618" s="10" t="s">
        <v>1057</v>
      </c>
      <c r="D618" s="11">
        <v>43908</v>
      </c>
      <c r="E618" s="11">
        <v>43908</v>
      </c>
      <c r="F618" s="31">
        <v>11223366</v>
      </c>
      <c r="G618" s="32">
        <v>0</v>
      </c>
      <c r="H618" s="8" t="s">
        <v>19</v>
      </c>
      <c r="I618" s="12">
        <v>901095058</v>
      </c>
      <c r="J618" s="13" t="s">
        <v>1058</v>
      </c>
      <c r="K618" s="14">
        <v>300</v>
      </c>
      <c r="L618" s="15" t="s">
        <v>250</v>
      </c>
      <c r="M618" s="16">
        <v>15000</v>
      </c>
      <c r="N618" s="16">
        <f t="shared" ref="N618:N622" si="21">M618*0.19</f>
        <v>2850</v>
      </c>
      <c r="O618" s="16">
        <f t="shared" si="19"/>
        <v>5355000</v>
      </c>
      <c r="P618" s="14" t="s">
        <v>21</v>
      </c>
    </row>
    <row r="619" spans="1:16" x14ac:dyDescent="0.3">
      <c r="A619" s="8" t="s">
        <v>1055</v>
      </c>
      <c r="B619" s="9" t="s">
        <v>1056</v>
      </c>
      <c r="C619" s="10" t="s">
        <v>1057</v>
      </c>
      <c r="D619" s="11">
        <v>43908</v>
      </c>
      <c r="E619" s="11">
        <v>43908</v>
      </c>
      <c r="F619" s="31">
        <v>11223366</v>
      </c>
      <c r="G619" s="32">
        <v>0</v>
      </c>
      <c r="H619" s="8" t="s">
        <v>19</v>
      </c>
      <c r="I619" s="12">
        <v>901095058</v>
      </c>
      <c r="J619" s="13" t="s">
        <v>1450</v>
      </c>
      <c r="K619" s="24">
        <v>160</v>
      </c>
      <c r="L619" s="18" t="s">
        <v>172</v>
      </c>
      <c r="M619" s="16">
        <v>29571.25</v>
      </c>
      <c r="N619" s="16">
        <f t="shared" si="21"/>
        <v>5618.5375000000004</v>
      </c>
      <c r="O619" s="16">
        <f t="shared" si="19"/>
        <v>5630366</v>
      </c>
      <c r="P619" s="14" t="s">
        <v>34</v>
      </c>
    </row>
    <row r="620" spans="1:16" x14ac:dyDescent="0.3">
      <c r="A620" s="8" t="s">
        <v>1055</v>
      </c>
      <c r="B620" s="9" t="s">
        <v>1059</v>
      </c>
      <c r="C620" s="10" t="s">
        <v>1060</v>
      </c>
      <c r="D620" s="11">
        <v>43909</v>
      </c>
      <c r="E620" s="11">
        <v>43909</v>
      </c>
      <c r="F620" s="31">
        <v>29028000</v>
      </c>
      <c r="G620" s="32">
        <v>0</v>
      </c>
      <c r="H620" s="8" t="s">
        <v>1061</v>
      </c>
      <c r="I620" s="12">
        <v>900837029</v>
      </c>
      <c r="J620" s="13" t="s">
        <v>1451</v>
      </c>
      <c r="K620" s="24">
        <v>200</v>
      </c>
      <c r="L620" s="15" t="s">
        <v>172</v>
      </c>
      <c r="M620" s="16">
        <v>25000</v>
      </c>
      <c r="N620" s="16">
        <f t="shared" si="21"/>
        <v>4750</v>
      </c>
      <c r="O620" s="16">
        <f t="shared" si="19"/>
        <v>5950000</v>
      </c>
      <c r="P620" s="14" t="s">
        <v>34</v>
      </c>
    </row>
    <row r="621" spans="1:16" x14ac:dyDescent="0.3">
      <c r="A621" s="8" t="s">
        <v>1055</v>
      </c>
      <c r="B621" s="9" t="s">
        <v>1059</v>
      </c>
      <c r="C621" s="10" t="s">
        <v>1060</v>
      </c>
      <c r="D621" s="11">
        <v>43909</v>
      </c>
      <c r="E621" s="11">
        <v>43909</v>
      </c>
      <c r="F621" s="31">
        <v>29028000</v>
      </c>
      <c r="G621" s="32">
        <v>0</v>
      </c>
      <c r="H621" s="8" t="s">
        <v>1061</v>
      </c>
      <c r="I621" s="12">
        <v>900837029</v>
      </c>
      <c r="J621" s="13" t="s">
        <v>1062</v>
      </c>
      <c r="K621" s="14">
        <v>100</v>
      </c>
      <c r="L621" s="15" t="s">
        <v>172</v>
      </c>
      <c r="M621" s="16">
        <v>60000</v>
      </c>
      <c r="N621" s="16">
        <f t="shared" si="21"/>
        <v>11400</v>
      </c>
      <c r="O621" s="16">
        <f t="shared" si="19"/>
        <v>7140000</v>
      </c>
      <c r="P621" s="14" t="s">
        <v>1383</v>
      </c>
    </row>
    <row r="622" spans="1:16" x14ac:dyDescent="0.3">
      <c r="A622" s="8" t="s">
        <v>1055</v>
      </c>
      <c r="B622" s="9" t="s">
        <v>1059</v>
      </c>
      <c r="C622" s="10" t="s">
        <v>1060</v>
      </c>
      <c r="D622" s="11">
        <v>43909</v>
      </c>
      <c r="E622" s="11">
        <v>43909</v>
      </c>
      <c r="F622" s="31">
        <v>29028000</v>
      </c>
      <c r="G622" s="32">
        <v>0</v>
      </c>
      <c r="H622" s="8" t="s">
        <v>1061</v>
      </c>
      <c r="I622" s="12">
        <v>900837029</v>
      </c>
      <c r="J622" s="13" t="s">
        <v>1420</v>
      </c>
      <c r="K622" s="14">
        <v>9300</v>
      </c>
      <c r="L622" s="15" t="s">
        <v>250</v>
      </c>
      <c r="M622" s="16">
        <f>166000/1.19/100</f>
        <v>1394.9579831932774</v>
      </c>
      <c r="N622" s="16">
        <f t="shared" si="21"/>
        <v>265.0420168067227</v>
      </c>
      <c r="O622" s="16">
        <f t="shared" si="19"/>
        <v>15438000</v>
      </c>
      <c r="P622" s="14" t="s">
        <v>95</v>
      </c>
    </row>
    <row r="623" spans="1:16" x14ac:dyDescent="0.3">
      <c r="A623" s="8" t="s">
        <v>1055</v>
      </c>
      <c r="B623" s="9" t="s">
        <v>1063</v>
      </c>
      <c r="C623" s="10" t="s">
        <v>1064</v>
      </c>
      <c r="D623" s="11">
        <v>43950</v>
      </c>
      <c r="E623" s="11">
        <v>43952</v>
      </c>
      <c r="F623" s="31">
        <v>5747700</v>
      </c>
      <c r="G623" s="32">
        <v>0</v>
      </c>
      <c r="H623" s="8" t="s">
        <v>1065</v>
      </c>
      <c r="I623" s="12">
        <v>901346165</v>
      </c>
      <c r="J623" s="13" t="s">
        <v>1460</v>
      </c>
      <c r="K623" s="24">
        <v>735</v>
      </c>
      <c r="L623" s="15" t="s">
        <v>172</v>
      </c>
      <c r="M623" s="16">
        <v>7820</v>
      </c>
      <c r="N623" s="16">
        <v>0</v>
      </c>
      <c r="O623" s="16">
        <f t="shared" si="19"/>
        <v>5747700</v>
      </c>
      <c r="P623" s="14" t="s">
        <v>96</v>
      </c>
    </row>
    <row r="624" spans="1:16" x14ac:dyDescent="0.3">
      <c r="A624" s="8" t="s">
        <v>1055</v>
      </c>
      <c r="B624" s="9" t="s">
        <v>1066</v>
      </c>
      <c r="C624" s="10" t="s">
        <v>1067</v>
      </c>
      <c r="D624" s="11">
        <v>43964</v>
      </c>
      <c r="E624" s="11">
        <v>43966</v>
      </c>
      <c r="F624" s="31">
        <v>7796118</v>
      </c>
      <c r="G624" s="32">
        <v>0</v>
      </c>
      <c r="H624" s="8" t="s">
        <v>1068</v>
      </c>
      <c r="I624" s="12">
        <v>900311030</v>
      </c>
      <c r="J624" s="13" t="s">
        <v>1069</v>
      </c>
      <c r="K624" s="14">
        <f>3762/3</f>
        <v>1254</v>
      </c>
      <c r="L624" s="18" t="s">
        <v>1277</v>
      </c>
      <c r="M624" s="16">
        <f>2072.333333*3</f>
        <v>6216.9999989999997</v>
      </c>
      <c r="N624" s="16">
        <v>0</v>
      </c>
      <c r="O624" s="16">
        <f t="shared" si="19"/>
        <v>7796117.9987459993</v>
      </c>
      <c r="P624" s="14" t="s">
        <v>94</v>
      </c>
    </row>
    <row r="625" spans="1:16" x14ac:dyDescent="0.3">
      <c r="A625" s="8" t="s">
        <v>1055</v>
      </c>
      <c r="B625" s="9" t="s">
        <v>1070</v>
      </c>
      <c r="C625" s="10" t="s">
        <v>1071</v>
      </c>
      <c r="D625" s="11">
        <v>43966</v>
      </c>
      <c r="E625" s="11">
        <v>43969</v>
      </c>
      <c r="F625" s="31">
        <v>13396000</v>
      </c>
      <c r="G625" s="32">
        <v>0</v>
      </c>
      <c r="H625" s="8" t="s">
        <v>1072</v>
      </c>
      <c r="I625" s="12">
        <v>900342297</v>
      </c>
      <c r="J625" s="13" t="s">
        <v>1073</v>
      </c>
      <c r="K625" s="14">
        <v>4000</v>
      </c>
      <c r="L625" s="15" t="s">
        <v>250</v>
      </c>
      <c r="M625" s="16">
        <f>334900/100</f>
        <v>3349</v>
      </c>
      <c r="N625" s="16">
        <v>0</v>
      </c>
      <c r="O625" s="16">
        <f t="shared" si="19"/>
        <v>13396000</v>
      </c>
      <c r="P625" s="14" t="s">
        <v>95</v>
      </c>
    </row>
    <row r="626" spans="1:16" x14ac:dyDescent="0.3">
      <c r="A626" s="8" t="s">
        <v>1055</v>
      </c>
      <c r="B626" s="9" t="s">
        <v>1074</v>
      </c>
      <c r="C626" s="10" t="s">
        <v>1075</v>
      </c>
      <c r="D626" s="11">
        <v>43972</v>
      </c>
      <c r="E626" s="11">
        <v>43972</v>
      </c>
      <c r="F626" s="31">
        <v>9028390</v>
      </c>
      <c r="G626" s="32">
        <v>0</v>
      </c>
      <c r="H626" s="8" t="s">
        <v>1076</v>
      </c>
      <c r="I626" s="12">
        <v>900676378</v>
      </c>
      <c r="J626" s="13" t="s">
        <v>1077</v>
      </c>
      <c r="K626" s="14">
        <v>14</v>
      </c>
      <c r="L626" s="15" t="s">
        <v>250</v>
      </c>
      <c r="M626" s="16">
        <v>583600</v>
      </c>
      <c r="N626" s="16">
        <v>0</v>
      </c>
      <c r="O626" s="16">
        <f t="shared" si="19"/>
        <v>8170400</v>
      </c>
      <c r="P626" s="14" t="s">
        <v>136</v>
      </c>
    </row>
    <row r="627" spans="1:16" x14ac:dyDescent="0.3">
      <c r="A627" s="8" t="s">
        <v>1055</v>
      </c>
      <c r="B627" s="9" t="s">
        <v>1074</v>
      </c>
      <c r="C627" s="10" t="s">
        <v>1075</v>
      </c>
      <c r="D627" s="11">
        <v>43972</v>
      </c>
      <c r="E627" s="11">
        <v>43972</v>
      </c>
      <c r="F627" s="31">
        <v>9028390</v>
      </c>
      <c r="G627" s="32">
        <v>0</v>
      </c>
      <c r="H627" s="8" t="s">
        <v>1076</v>
      </c>
      <c r="I627" s="12">
        <v>900676378</v>
      </c>
      <c r="J627" s="13" t="s">
        <v>1078</v>
      </c>
      <c r="K627" s="14">
        <v>14</v>
      </c>
      <c r="L627" s="15" t="s">
        <v>250</v>
      </c>
      <c r="M627" s="16">
        <f>61285/1.19</f>
        <v>51500</v>
      </c>
      <c r="N627" s="16">
        <f>M627*0.19</f>
        <v>9785</v>
      </c>
      <c r="O627" s="16">
        <f t="shared" si="19"/>
        <v>857990</v>
      </c>
      <c r="P627" s="14" t="s">
        <v>202</v>
      </c>
    </row>
    <row r="628" spans="1:16" x14ac:dyDescent="0.3">
      <c r="A628" s="8" t="s">
        <v>1055</v>
      </c>
      <c r="B628" s="9" t="s">
        <v>1079</v>
      </c>
      <c r="C628" s="10" t="s">
        <v>1080</v>
      </c>
      <c r="D628" s="11">
        <v>43979</v>
      </c>
      <c r="E628" s="11">
        <v>43983</v>
      </c>
      <c r="F628" s="31">
        <v>3040254</v>
      </c>
      <c r="G628" s="32">
        <v>0</v>
      </c>
      <c r="H628" s="8" t="s">
        <v>1065</v>
      </c>
      <c r="I628" s="12">
        <v>901346165</v>
      </c>
      <c r="J628" s="13" t="s">
        <v>1461</v>
      </c>
      <c r="K628" s="24">
        <v>100</v>
      </c>
      <c r="L628" s="15" t="s">
        <v>172</v>
      </c>
      <c r="M628" s="16">
        <v>7152.54</v>
      </c>
      <c r="N628" s="16">
        <v>0</v>
      </c>
      <c r="O628" s="16">
        <f t="shared" si="19"/>
        <v>715254</v>
      </c>
      <c r="P628" s="14" t="s">
        <v>96</v>
      </c>
    </row>
    <row r="629" spans="1:16" x14ac:dyDescent="0.3">
      <c r="A629" s="8" t="s">
        <v>1055</v>
      </c>
      <c r="B629" s="9" t="s">
        <v>1079</v>
      </c>
      <c r="C629" s="10" t="s">
        <v>1080</v>
      </c>
      <c r="D629" s="11">
        <v>43979</v>
      </c>
      <c r="E629" s="11">
        <v>43983</v>
      </c>
      <c r="F629" s="31">
        <v>3040254</v>
      </c>
      <c r="G629" s="32">
        <v>0</v>
      </c>
      <c r="H629" s="8" t="s">
        <v>1065</v>
      </c>
      <c r="I629" s="12">
        <v>901346165</v>
      </c>
      <c r="J629" s="13" t="s">
        <v>1460</v>
      </c>
      <c r="K629" s="24">
        <v>300</v>
      </c>
      <c r="L629" s="15" t="s">
        <v>172</v>
      </c>
      <c r="M629" s="16">
        <v>7750</v>
      </c>
      <c r="N629" s="16">
        <v>0</v>
      </c>
      <c r="O629" s="16">
        <f t="shared" si="19"/>
        <v>2325000</v>
      </c>
      <c r="P629" s="14" t="s">
        <v>96</v>
      </c>
    </row>
    <row r="630" spans="1:16" x14ac:dyDescent="0.3">
      <c r="A630" s="8" t="s">
        <v>1055</v>
      </c>
      <c r="B630" s="9" t="s">
        <v>1081</v>
      </c>
      <c r="C630" s="10" t="s">
        <v>1082</v>
      </c>
      <c r="D630" s="11">
        <v>43985</v>
      </c>
      <c r="E630" s="11">
        <v>43985</v>
      </c>
      <c r="F630" s="31">
        <v>7742500</v>
      </c>
      <c r="G630" s="32">
        <v>0</v>
      </c>
      <c r="H630" s="8" t="s">
        <v>1083</v>
      </c>
      <c r="I630" s="12">
        <v>1057514074</v>
      </c>
      <c r="J630" s="13" t="s">
        <v>1084</v>
      </c>
      <c r="K630" s="14">
        <v>163</v>
      </c>
      <c r="L630" s="15" t="s">
        <v>531</v>
      </c>
      <c r="M630" s="16">
        <v>47500</v>
      </c>
      <c r="N630" s="16">
        <v>0</v>
      </c>
      <c r="O630" s="16">
        <f t="shared" si="19"/>
        <v>7742500</v>
      </c>
      <c r="P630" s="14" t="s">
        <v>59</v>
      </c>
    </row>
    <row r="631" spans="1:16" x14ac:dyDescent="0.3">
      <c r="A631" s="8" t="s">
        <v>1055</v>
      </c>
      <c r="B631" s="9" t="s">
        <v>1085</v>
      </c>
      <c r="C631" s="10" t="s">
        <v>1086</v>
      </c>
      <c r="D631" s="11">
        <v>43985</v>
      </c>
      <c r="E631" s="11">
        <v>43985</v>
      </c>
      <c r="F631" s="31">
        <v>2231250</v>
      </c>
      <c r="G631" s="32">
        <v>0</v>
      </c>
      <c r="H631" s="8" t="s">
        <v>1087</v>
      </c>
      <c r="I631" s="12">
        <v>900112885</v>
      </c>
      <c r="J631" s="13" t="s">
        <v>1088</v>
      </c>
      <c r="K631" s="14">
        <v>15</v>
      </c>
      <c r="L631" s="15" t="s">
        <v>250</v>
      </c>
      <c r="M631" s="16">
        <v>125000</v>
      </c>
      <c r="N631" s="16">
        <f>M631*0.19</f>
        <v>23750</v>
      </c>
      <c r="O631" s="16">
        <f t="shared" si="19"/>
        <v>2231250</v>
      </c>
      <c r="P631" s="14" t="s">
        <v>1383</v>
      </c>
    </row>
    <row r="632" spans="1:16" x14ac:dyDescent="0.3">
      <c r="A632" s="8" t="s">
        <v>1055</v>
      </c>
      <c r="B632" s="9" t="s">
        <v>1089</v>
      </c>
      <c r="C632" s="10" t="s">
        <v>1090</v>
      </c>
      <c r="D632" s="11">
        <v>43987</v>
      </c>
      <c r="E632" s="11">
        <v>43987</v>
      </c>
      <c r="F632" s="31">
        <v>2485303.5</v>
      </c>
      <c r="G632" s="32">
        <v>0</v>
      </c>
      <c r="H632" s="8" t="s">
        <v>249</v>
      </c>
      <c r="I632" s="12">
        <v>900567130</v>
      </c>
      <c r="J632" s="13" t="s">
        <v>1491</v>
      </c>
      <c r="K632" s="14">
        <v>562</v>
      </c>
      <c r="L632" s="18" t="s">
        <v>172</v>
      </c>
      <c r="M632" s="16">
        <v>4422.2482206405693</v>
      </c>
      <c r="N632" s="16">
        <v>0</v>
      </c>
      <c r="O632" s="16">
        <f t="shared" si="19"/>
        <v>2485303.5</v>
      </c>
      <c r="P632" s="14" t="s">
        <v>36</v>
      </c>
    </row>
    <row r="633" spans="1:16" x14ac:dyDescent="0.3">
      <c r="A633" s="8" t="s">
        <v>1055</v>
      </c>
      <c r="B633" s="9" t="s">
        <v>1091</v>
      </c>
      <c r="C633" s="10" t="s">
        <v>1092</v>
      </c>
      <c r="D633" s="11">
        <v>43994</v>
      </c>
      <c r="E633" s="11">
        <v>43994</v>
      </c>
      <c r="F633" s="31">
        <v>11313136</v>
      </c>
      <c r="G633" s="32">
        <v>0</v>
      </c>
      <c r="H633" s="8" t="s">
        <v>375</v>
      </c>
      <c r="I633" s="12">
        <v>890307682</v>
      </c>
      <c r="J633" s="13" t="s">
        <v>1093</v>
      </c>
      <c r="K633" s="14">
        <v>1600</v>
      </c>
      <c r="L633" s="15" t="s">
        <v>250</v>
      </c>
      <c r="M633" s="16">
        <v>7070.71</v>
      </c>
      <c r="N633" s="16">
        <v>0</v>
      </c>
      <c r="O633" s="16">
        <f t="shared" si="19"/>
        <v>11313136</v>
      </c>
      <c r="P633" s="14" t="s">
        <v>232</v>
      </c>
    </row>
    <row r="634" spans="1:16" x14ac:dyDescent="0.3">
      <c r="A634" s="8" t="s">
        <v>1055</v>
      </c>
      <c r="B634" s="9" t="s">
        <v>1094</v>
      </c>
      <c r="C634" s="10" t="s">
        <v>1095</v>
      </c>
      <c r="D634" s="11">
        <v>44002</v>
      </c>
      <c r="E634" s="11">
        <v>44005</v>
      </c>
      <c r="F634" s="31">
        <v>8000000</v>
      </c>
      <c r="G634" s="32">
        <v>0</v>
      </c>
      <c r="H634" s="8" t="s">
        <v>1096</v>
      </c>
      <c r="I634" s="12">
        <v>46674022</v>
      </c>
      <c r="J634" s="13" t="s">
        <v>1431</v>
      </c>
      <c r="K634" s="14">
        <v>1</v>
      </c>
      <c r="L634" s="15" t="s">
        <v>1281</v>
      </c>
      <c r="M634" s="16">
        <v>1600000</v>
      </c>
      <c r="N634" s="16">
        <v>0</v>
      </c>
      <c r="O634" s="16">
        <f>K634*(M634+N634)*5</f>
        <v>8000000</v>
      </c>
      <c r="P634" s="14" t="s">
        <v>1282</v>
      </c>
    </row>
    <row r="635" spans="1:16" x14ac:dyDescent="0.3">
      <c r="A635" s="8" t="s">
        <v>1055</v>
      </c>
      <c r="B635" s="9" t="s">
        <v>1097</v>
      </c>
      <c r="C635" s="10" t="s">
        <v>1095</v>
      </c>
      <c r="D635" s="11">
        <v>44002</v>
      </c>
      <c r="E635" s="11">
        <v>44005</v>
      </c>
      <c r="F635" s="31">
        <v>8000000</v>
      </c>
      <c r="G635" s="32">
        <v>0</v>
      </c>
      <c r="H635" s="8" t="s">
        <v>1098</v>
      </c>
      <c r="I635" s="12">
        <v>1057600328</v>
      </c>
      <c r="J635" s="13" t="s">
        <v>1431</v>
      </c>
      <c r="K635" s="14">
        <v>1</v>
      </c>
      <c r="L635" s="15" t="s">
        <v>1281</v>
      </c>
      <c r="M635" s="16">
        <v>1600000</v>
      </c>
      <c r="N635" s="16">
        <v>0</v>
      </c>
      <c r="O635" s="16">
        <f t="shared" ref="O635:O643" si="22">K635*(M635+N635)*5</f>
        <v>8000000</v>
      </c>
      <c r="P635" s="14" t="s">
        <v>1282</v>
      </c>
    </row>
    <row r="636" spans="1:16" x14ac:dyDescent="0.3">
      <c r="A636" s="8" t="s">
        <v>1055</v>
      </c>
      <c r="B636" s="9" t="s">
        <v>1099</v>
      </c>
      <c r="C636" s="10" t="s">
        <v>1095</v>
      </c>
      <c r="D636" s="11">
        <v>44002</v>
      </c>
      <c r="E636" s="11">
        <v>44005</v>
      </c>
      <c r="F636" s="31">
        <v>8000000</v>
      </c>
      <c r="G636" s="32">
        <v>0</v>
      </c>
      <c r="H636" s="8" t="s">
        <v>1100</v>
      </c>
      <c r="I636" s="12">
        <v>1049620718</v>
      </c>
      <c r="J636" s="13" t="s">
        <v>1431</v>
      </c>
      <c r="K636" s="14">
        <v>1</v>
      </c>
      <c r="L636" s="15" t="s">
        <v>1281</v>
      </c>
      <c r="M636" s="16">
        <v>1600000</v>
      </c>
      <c r="N636" s="16">
        <v>0</v>
      </c>
      <c r="O636" s="16">
        <f t="shared" si="22"/>
        <v>8000000</v>
      </c>
      <c r="P636" s="14" t="s">
        <v>1282</v>
      </c>
    </row>
    <row r="637" spans="1:16" x14ac:dyDescent="0.3">
      <c r="A637" s="8" t="s">
        <v>1055</v>
      </c>
      <c r="B637" s="9" t="s">
        <v>1101</v>
      </c>
      <c r="C637" s="10" t="s">
        <v>1095</v>
      </c>
      <c r="D637" s="11">
        <v>44005</v>
      </c>
      <c r="E637" s="11">
        <v>44006</v>
      </c>
      <c r="F637" s="31">
        <v>8000000</v>
      </c>
      <c r="G637" s="32">
        <v>0</v>
      </c>
      <c r="H637" s="8" t="s">
        <v>1102</v>
      </c>
      <c r="I637" s="12">
        <v>1002523080</v>
      </c>
      <c r="J637" s="13" t="s">
        <v>1431</v>
      </c>
      <c r="K637" s="14">
        <v>1</v>
      </c>
      <c r="L637" s="15" t="s">
        <v>1281</v>
      </c>
      <c r="M637" s="16">
        <v>1600000</v>
      </c>
      <c r="N637" s="16">
        <v>0</v>
      </c>
      <c r="O637" s="16">
        <f t="shared" si="22"/>
        <v>8000000</v>
      </c>
      <c r="P637" s="14" t="s">
        <v>1282</v>
      </c>
    </row>
    <row r="638" spans="1:16" x14ac:dyDescent="0.3">
      <c r="A638" s="8" t="s">
        <v>1055</v>
      </c>
      <c r="B638" s="9" t="s">
        <v>1103</v>
      </c>
      <c r="C638" s="10" t="s">
        <v>1095</v>
      </c>
      <c r="D638" s="11">
        <v>44006</v>
      </c>
      <c r="E638" s="11">
        <v>44007</v>
      </c>
      <c r="F638" s="31">
        <v>8000000</v>
      </c>
      <c r="G638" s="32">
        <v>0</v>
      </c>
      <c r="H638" s="8" t="s">
        <v>1104</v>
      </c>
      <c r="I638" s="12">
        <v>1055312482</v>
      </c>
      <c r="J638" s="13" t="s">
        <v>1431</v>
      </c>
      <c r="K638" s="14">
        <v>1</v>
      </c>
      <c r="L638" s="15" t="s">
        <v>1281</v>
      </c>
      <c r="M638" s="16">
        <v>1600000</v>
      </c>
      <c r="N638" s="16">
        <v>0</v>
      </c>
      <c r="O638" s="16">
        <f t="shared" si="22"/>
        <v>8000000</v>
      </c>
      <c r="P638" s="14" t="s">
        <v>1282</v>
      </c>
    </row>
    <row r="639" spans="1:16" x14ac:dyDescent="0.3">
      <c r="A639" s="8" t="s">
        <v>1055</v>
      </c>
      <c r="B639" s="9" t="s">
        <v>1105</v>
      </c>
      <c r="C639" s="10" t="s">
        <v>1095</v>
      </c>
      <c r="D639" s="11">
        <v>44012</v>
      </c>
      <c r="E639" s="11">
        <v>44164</v>
      </c>
      <c r="F639" s="31">
        <v>8000000</v>
      </c>
      <c r="G639" s="32">
        <v>0</v>
      </c>
      <c r="H639" s="8" t="s">
        <v>1106</v>
      </c>
      <c r="I639" s="12">
        <v>46385024</v>
      </c>
      <c r="J639" s="13" t="s">
        <v>1431</v>
      </c>
      <c r="K639" s="14">
        <v>1</v>
      </c>
      <c r="L639" s="15" t="s">
        <v>1281</v>
      </c>
      <c r="M639" s="16">
        <v>1600000</v>
      </c>
      <c r="N639" s="16">
        <v>0</v>
      </c>
      <c r="O639" s="16">
        <f t="shared" si="22"/>
        <v>8000000</v>
      </c>
      <c r="P639" s="14" t="s">
        <v>1282</v>
      </c>
    </row>
    <row r="640" spans="1:16" x14ac:dyDescent="0.3">
      <c r="A640" s="8" t="s">
        <v>1055</v>
      </c>
      <c r="B640" s="9" t="s">
        <v>1107</v>
      </c>
      <c r="C640" s="10" t="s">
        <v>1095</v>
      </c>
      <c r="D640" s="11">
        <v>44013</v>
      </c>
      <c r="E640" s="11">
        <v>44165</v>
      </c>
      <c r="F640" s="31">
        <v>8000000</v>
      </c>
      <c r="G640" s="32">
        <v>0</v>
      </c>
      <c r="H640" s="8" t="s">
        <v>1108</v>
      </c>
      <c r="I640" s="12">
        <v>46369935</v>
      </c>
      <c r="J640" s="13" t="s">
        <v>1431</v>
      </c>
      <c r="K640" s="14">
        <v>1</v>
      </c>
      <c r="L640" s="15" t="s">
        <v>1281</v>
      </c>
      <c r="M640" s="16">
        <v>1600000</v>
      </c>
      <c r="N640" s="16">
        <v>0</v>
      </c>
      <c r="O640" s="16">
        <f t="shared" si="22"/>
        <v>8000000</v>
      </c>
      <c r="P640" s="14" t="s">
        <v>1282</v>
      </c>
    </row>
    <row r="641" spans="1:16" x14ac:dyDescent="0.3">
      <c r="A641" s="8" t="s">
        <v>1055</v>
      </c>
      <c r="B641" s="9" t="s">
        <v>1109</v>
      </c>
      <c r="C641" s="10" t="s">
        <v>1095</v>
      </c>
      <c r="D641" s="11">
        <v>44013</v>
      </c>
      <c r="E641" s="11">
        <v>44165</v>
      </c>
      <c r="F641" s="31">
        <v>8000000</v>
      </c>
      <c r="G641" s="32">
        <v>0</v>
      </c>
      <c r="H641" s="8" t="s">
        <v>1110</v>
      </c>
      <c r="I641" s="12">
        <v>1052314062</v>
      </c>
      <c r="J641" s="13" t="s">
        <v>1431</v>
      </c>
      <c r="K641" s="14">
        <v>1</v>
      </c>
      <c r="L641" s="15" t="s">
        <v>1281</v>
      </c>
      <c r="M641" s="16">
        <v>1600000</v>
      </c>
      <c r="N641" s="16">
        <v>0</v>
      </c>
      <c r="O641" s="16">
        <f t="shared" si="22"/>
        <v>8000000</v>
      </c>
      <c r="P641" s="14" t="s">
        <v>1282</v>
      </c>
    </row>
    <row r="642" spans="1:16" x14ac:dyDescent="0.3">
      <c r="A642" s="8" t="s">
        <v>1055</v>
      </c>
      <c r="B642" s="9" t="s">
        <v>1111</v>
      </c>
      <c r="C642" s="10" t="s">
        <v>1095</v>
      </c>
      <c r="D642" s="11">
        <v>44018</v>
      </c>
      <c r="E642" s="11">
        <v>44170</v>
      </c>
      <c r="F642" s="31">
        <v>8000000</v>
      </c>
      <c r="G642" s="32">
        <v>0</v>
      </c>
      <c r="H642" s="8" t="s">
        <v>1112</v>
      </c>
      <c r="I642" s="12">
        <v>23783733</v>
      </c>
      <c r="J642" s="13" t="s">
        <v>1431</v>
      </c>
      <c r="K642" s="14">
        <v>1</v>
      </c>
      <c r="L642" s="15" t="s">
        <v>1281</v>
      </c>
      <c r="M642" s="16">
        <v>1600000</v>
      </c>
      <c r="N642" s="16">
        <v>0</v>
      </c>
      <c r="O642" s="16">
        <f t="shared" si="22"/>
        <v>8000000</v>
      </c>
      <c r="P642" s="14" t="s">
        <v>1282</v>
      </c>
    </row>
    <row r="643" spans="1:16" x14ac:dyDescent="0.3">
      <c r="A643" s="8" t="s">
        <v>1055</v>
      </c>
      <c r="B643" s="9" t="s">
        <v>1113</v>
      </c>
      <c r="C643" s="10" t="s">
        <v>1095</v>
      </c>
      <c r="D643" s="11">
        <v>44041</v>
      </c>
      <c r="E643" s="11">
        <v>44193</v>
      </c>
      <c r="F643" s="31">
        <v>8000000</v>
      </c>
      <c r="G643" s="32">
        <v>0</v>
      </c>
      <c r="H643" s="8" t="s">
        <v>1114</v>
      </c>
      <c r="I643" s="12">
        <v>23427767</v>
      </c>
      <c r="J643" s="13" t="s">
        <v>1431</v>
      </c>
      <c r="K643" s="14">
        <v>1</v>
      </c>
      <c r="L643" s="15" t="s">
        <v>1281</v>
      </c>
      <c r="M643" s="16">
        <v>1600000</v>
      </c>
      <c r="N643" s="16">
        <v>0</v>
      </c>
      <c r="O643" s="16">
        <f t="shared" si="22"/>
        <v>8000000</v>
      </c>
      <c r="P643" s="14" t="s">
        <v>1282</v>
      </c>
    </row>
    <row r="644" spans="1:16" x14ac:dyDescent="0.3">
      <c r="A644" s="8" t="s">
        <v>1115</v>
      </c>
      <c r="B644" s="9">
        <v>1</v>
      </c>
      <c r="C644" s="10" t="s">
        <v>1116</v>
      </c>
      <c r="D644" s="11">
        <v>43928</v>
      </c>
      <c r="E644" s="11">
        <v>43936</v>
      </c>
      <c r="F644" s="31">
        <v>4522000</v>
      </c>
      <c r="G644" s="32">
        <v>0</v>
      </c>
      <c r="H644" s="8" t="s">
        <v>1117</v>
      </c>
      <c r="I644" s="12">
        <v>901095058</v>
      </c>
      <c r="J644" s="13" t="s">
        <v>1118</v>
      </c>
      <c r="K644" s="14">
        <v>200</v>
      </c>
      <c r="L644" s="18" t="s">
        <v>250</v>
      </c>
      <c r="M644" s="16">
        <v>19000</v>
      </c>
      <c r="N644" s="16">
        <f>M644*0.19</f>
        <v>3610</v>
      </c>
      <c r="O644" s="16">
        <f t="shared" ref="O644:O684" si="23">K644*(M644+N644)</f>
        <v>4522000</v>
      </c>
      <c r="P644" s="19" t="s">
        <v>21</v>
      </c>
    </row>
    <row r="645" spans="1:16" x14ac:dyDescent="0.3">
      <c r="A645" s="8" t="s">
        <v>1115</v>
      </c>
      <c r="B645" s="9">
        <v>2</v>
      </c>
      <c r="C645" s="10" t="s">
        <v>1119</v>
      </c>
      <c r="D645" s="11">
        <v>43931</v>
      </c>
      <c r="E645" s="11">
        <v>43936</v>
      </c>
      <c r="F645" s="31">
        <v>21896000</v>
      </c>
      <c r="G645" s="32">
        <v>0</v>
      </c>
      <c r="H645" s="8" t="s">
        <v>1120</v>
      </c>
      <c r="I645" s="12">
        <v>900712491</v>
      </c>
      <c r="J645" s="13" t="s">
        <v>1423</v>
      </c>
      <c r="K645" s="14">
        <f>400*50</f>
        <v>20000</v>
      </c>
      <c r="L645" s="15" t="s">
        <v>250</v>
      </c>
      <c r="M645" s="16">
        <f>46000/50</f>
        <v>920</v>
      </c>
      <c r="N645" s="16">
        <f>M645*0.19</f>
        <v>174.8</v>
      </c>
      <c r="O645" s="16">
        <f t="shared" si="23"/>
        <v>21896000</v>
      </c>
      <c r="P645" s="19" t="s">
        <v>95</v>
      </c>
    </row>
    <row r="646" spans="1:16" x14ac:dyDescent="0.3">
      <c r="A646" s="8" t="s">
        <v>1115</v>
      </c>
      <c r="B646" s="9">
        <v>3</v>
      </c>
      <c r="C646" s="10" t="s">
        <v>1121</v>
      </c>
      <c r="D646" s="11">
        <v>43934</v>
      </c>
      <c r="E646" s="11">
        <v>43936</v>
      </c>
      <c r="F646" s="31">
        <v>5650000</v>
      </c>
      <c r="G646" s="32">
        <v>0</v>
      </c>
      <c r="H646" s="8" t="s">
        <v>1122</v>
      </c>
      <c r="I646" s="12">
        <v>34535703</v>
      </c>
      <c r="J646" s="13" t="s">
        <v>1123</v>
      </c>
      <c r="K646" s="14">
        <v>200</v>
      </c>
      <c r="L646" s="15" t="s">
        <v>531</v>
      </c>
      <c r="M646" s="16">
        <v>28250</v>
      </c>
      <c r="N646" s="16">
        <v>0</v>
      </c>
      <c r="O646" s="16">
        <f t="shared" si="23"/>
        <v>5650000</v>
      </c>
      <c r="P646" s="19" t="s">
        <v>23</v>
      </c>
    </row>
    <row r="647" spans="1:16" x14ac:dyDescent="0.3">
      <c r="A647" s="8" t="s">
        <v>1115</v>
      </c>
      <c r="B647" s="9">
        <v>4</v>
      </c>
      <c r="C647" s="10" t="s">
        <v>1124</v>
      </c>
      <c r="D647" s="11">
        <v>43945</v>
      </c>
      <c r="E647" s="11">
        <v>43948</v>
      </c>
      <c r="F647" s="31">
        <v>2580000</v>
      </c>
      <c r="G647" s="32">
        <v>0</v>
      </c>
      <c r="H647" s="8" t="s">
        <v>1125</v>
      </c>
      <c r="I647" s="12">
        <v>901322759</v>
      </c>
      <c r="J647" s="13" t="s">
        <v>1126</v>
      </c>
      <c r="K647" s="24">
        <v>300</v>
      </c>
      <c r="L647" s="15" t="s">
        <v>172</v>
      </c>
      <c r="M647" s="16">
        <v>8600</v>
      </c>
      <c r="N647" s="16">
        <v>0</v>
      </c>
      <c r="O647" s="16">
        <f t="shared" si="23"/>
        <v>2580000</v>
      </c>
      <c r="P647" s="19" t="s">
        <v>96</v>
      </c>
    </row>
    <row r="648" spans="1:16" x14ac:dyDescent="0.3">
      <c r="A648" s="8" t="s">
        <v>1115</v>
      </c>
      <c r="B648" s="9" t="s">
        <v>1127</v>
      </c>
      <c r="C648" s="10" t="s">
        <v>1128</v>
      </c>
      <c r="D648" s="11">
        <v>43955</v>
      </c>
      <c r="E648" s="11">
        <v>43955</v>
      </c>
      <c r="F648" s="31">
        <v>12251660.609999999</v>
      </c>
      <c r="G648" s="32">
        <v>0</v>
      </c>
      <c r="H648" s="8" t="s">
        <v>51</v>
      </c>
      <c r="I648" s="12">
        <v>83001338</v>
      </c>
      <c r="J648" s="13" t="s">
        <v>1129</v>
      </c>
      <c r="K648" s="14">
        <v>1310</v>
      </c>
      <c r="L648" s="18" t="s">
        <v>1277</v>
      </c>
      <c r="M648" s="16">
        <v>5880.21</v>
      </c>
      <c r="N648" s="16">
        <f>M648*0.19</f>
        <v>1117.2399</v>
      </c>
      <c r="O648" s="16">
        <f t="shared" si="23"/>
        <v>9166659.368999999</v>
      </c>
      <c r="P648" s="19" t="s">
        <v>94</v>
      </c>
    </row>
    <row r="649" spans="1:16" x14ac:dyDescent="0.3">
      <c r="A649" s="8" t="s">
        <v>1115</v>
      </c>
      <c r="B649" s="9" t="s">
        <v>1127</v>
      </c>
      <c r="C649" s="10" t="s">
        <v>1128</v>
      </c>
      <c r="D649" s="11">
        <v>43955</v>
      </c>
      <c r="E649" s="11">
        <v>43955</v>
      </c>
      <c r="F649" s="31">
        <v>12251660.609999999</v>
      </c>
      <c r="G649" s="32">
        <v>0</v>
      </c>
      <c r="H649" s="8" t="s">
        <v>51</v>
      </c>
      <c r="I649" s="12">
        <v>83001338</v>
      </c>
      <c r="J649" s="13" t="s">
        <v>1492</v>
      </c>
      <c r="K649" s="14">
        <f>200*4</f>
        <v>800</v>
      </c>
      <c r="L649" s="18" t="s">
        <v>172</v>
      </c>
      <c r="M649" s="16">
        <v>3856.25</v>
      </c>
      <c r="N649" s="16">
        <v>0</v>
      </c>
      <c r="O649" s="16">
        <f t="shared" si="23"/>
        <v>3085000</v>
      </c>
      <c r="P649" s="19" t="s">
        <v>36</v>
      </c>
    </row>
    <row r="650" spans="1:16" x14ac:dyDescent="0.3">
      <c r="A650" s="8" t="s">
        <v>1115</v>
      </c>
      <c r="B650" s="9" t="s">
        <v>1130</v>
      </c>
      <c r="C650" s="10" t="s">
        <v>1131</v>
      </c>
      <c r="D650" s="11">
        <v>43955</v>
      </c>
      <c r="E650" s="11">
        <v>43955</v>
      </c>
      <c r="F650" s="31">
        <v>29306033.280000001</v>
      </c>
      <c r="G650" s="32">
        <v>0</v>
      </c>
      <c r="H650" s="8" t="s">
        <v>1132</v>
      </c>
      <c r="I650" s="12">
        <v>80736955</v>
      </c>
      <c r="J650" s="13" t="s">
        <v>1452</v>
      </c>
      <c r="K650" s="24">
        <v>1656</v>
      </c>
      <c r="L650" s="15" t="s">
        <v>172</v>
      </c>
      <c r="M650" s="16">
        <v>17696.88</v>
      </c>
      <c r="N650" s="16">
        <v>0</v>
      </c>
      <c r="O650" s="16">
        <f t="shared" si="23"/>
        <v>29306033.280000001</v>
      </c>
      <c r="P650" s="19" t="s">
        <v>34</v>
      </c>
    </row>
    <row r="651" spans="1:16" x14ac:dyDescent="0.3">
      <c r="A651" s="8" t="s">
        <v>1115</v>
      </c>
      <c r="B651" s="9" t="s">
        <v>1133</v>
      </c>
      <c r="C651" s="10" t="s">
        <v>1134</v>
      </c>
      <c r="D651" s="11">
        <v>43958</v>
      </c>
      <c r="E651" s="11">
        <v>43958</v>
      </c>
      <c r="F651" s="31">
        <v>5095000</v>
      </c>
      <c r="G651" s="32">
        <v>0</v>
      </c>
      <c r="H651" s="8" t="s">
        <v>1132</v>
      </c>
      <c r="I651" s="12">
        <v>80736955</v>
      </c>
      <c r="J651" s="13" t="s">
        <v>1422</v>
      </c>
      <c r="K651" s="14">
        <v>5000</v>
      </c>
      <c r="L651" s="15" t="s">
        <v>250</v>
      </c>
      <c r="M651" s="16">
        <f>98900/100</f>
        <v>989</v>
      </c>
      <c r="N651" s="16">
        <v>0</v>
      </c>
      <c r="O651" s="16">
        <f t="shared" si="23"/>
        <v>4945000</v>
      </c>
      <c r="P651" s="19" t="s">
        <v>95</v>
      </c>
    </row>
    <row r="652" spans="1:16" x14ac:dyDescent="0.3">
      <c r="A652" s="8" t="s">
        <v>1115</v>
      </c>
      <c r="B652" s="9" t="s">
        <v>1135</v>
      </c>
      <c r="C652" s="10" t="s">
        <v>1136</v>
      </c>
      <c r="D652" s="11">
        <v>43965</v>
      </c>
      <c r="E652" s="11">
        <v>43965</v>
      </c>
      <c r="F652" s="31">
        <v>71093750</v>
      </c>
      <c r="G652" s="32">
        <v>0</v>
      </c>
      <c r="H652" s="8" t="s">
        <v>42</v>
      </c>
      <c r="I652" s="12">
        <v>901243179</v>
      </c>
      <c r="J652" s="13" t="s">
        <v>1137</v>
      </c>
      <c r="K652" s="14">
        <v>75000</v>
      </c>
      <c r="L652" s="15" t="s">
        <v>250</v>
      </c>
      <c r="M652" s="16">
        <f>93750/100</f>
        <v>937.5</v>
      </c>
      <c r="N652" s="16">
        <v>0</v>
      </c>
      <c r="O652" s="16">
        <f t="shared" si="23"/>
        <v>70312500</v>
      </c>
      <c r="P652" s="19" t="s">
        <v>95</v>
      </c>
    </row>
    <row r="653" spans="1:16" x14ac:dyDescent="0.3">
      <c r="A653" s="8" t="s">
        <v>1115</v>
      </c>
      <c r="B653" s="9" t="s">
        <v>1138</v>
      </c>
      <c r="C653" s="10" t="s">
        <v>1139</v>
      </c>
      <c r="D653" s="11">
        <v>43965</v>
      </c>
      <c r="E653" s="11">
        <v>43965</v>
      </c>
      <c r="F653" s="31">
        <v>11910547.07</v>
      </c>
      <c r="G653" s="32">
        <v>0</v>
      </c>
      <c r="H653" s="8" t="s">
        <v>227</v>
      </c>
      <c r="I653" s="12">
        <v>90070405</v>
      </c>
      <c r="J653" s="13" t="s">
        <v>1367</v>
      </c>
      <c r="K653" s="14">
        <f>668+412*4</f>
        <v>2316</v>
      </c>
      <c r="L653" s="15" t="s">
        <v>172</v>
      </c>
      <c r="M653" s="16">
        <f>10353.13/4</f>
        <v>2588.2824999999998</v>
      </c>
      <c r="N653" s="16">
        <v>0</v>
      </c>
      <c r="O653" s="16">
        <f t="shared" si="23"/>
        <v>5994462.2699999996</v>
      </c>
      <c r="P653" s="14" t="s">
        <v>1398</v>
      </c>
    </row>
    <row r="654" spans="1:16" x14ac:dyDescent="0.3">
      <c r="A654" s="8" t="s">
        <v>1115</v>
      </c>
      <c r="B654" s="9" t="s">
        <v>1140</v>
      </c>
      <c r="C654" s="10" t="s">
        <v>1141</v>
      </c>
      <c r="D654" s="11">
        <v>43965</v>
      </c>
      <c r="E654" s="11">
        <v>43965</v>
      </c>
      <c r="F654" s="31">
        <v>3784376</v>
      </c>
      <c r="G654" s="32">
        <v>0</v>
      </c>
      <c r="H654" s="8" t="s">
        <v>224</v>
      </c>
      <c r="I654" s="12">
        <v>900300970</v>
      </c>
      <c r="J654" s="13" t="s">
        <v>1368</v>
      </c>
      <c r="K654" s="24">
        <v>200</v>
      </c>
      <c r="L654" s="15" t="s">
        <v>172</v>
      </c>
      <c r="M654" s="16">
        <v>18921.88</v>
      </c>
      <c r="N654" s="16">
        <v>0</v>
      </c>
      <c r="O654" s="16">
        <f t="shared" si="23"/>
        <v>3784376</v>
      </c>
      <c r="P654" s="19" t="s">
        <v>34</v>
      </c>
    </row>
    <row r="655" spans="1:16" x14ac:dyDescent="0.3">
      <c r="A655" s="8" t="s">
        <v>1115</v>
      </c>
      <c r="B655" s="9" t="s">
        <v>1142</v>
      </c>
      <c r="C655" s="10" t="s">
        <v>1143</v>
      </c>
      <c r="D655" s="11">
        <v>43965</v>
      </c>
      <c r="E655" s="11">
        <v>43965</v>
      </c>
      <c r="F655" s="31">
        <v>10113019.77</v>
      </c>
      <c r="G655" s="32">
        <v>0</v>
      </c>
      <c r="H655" s="8" t="s">
        <v>1144</v>
      </c>
      <c r="I655" s="12">
        <v>900791672</v>
      </c>
      <c r="J655" s="13" t="s">
        <v>1493</v>
      </c>
      <c r="K655" s="14">
        <f>319*4</f>
        <v>1276</v>
      </c>
      <c r="L655" s="18" t="s">
        <v>172</v>
      </c>
      <c r="M655" s="16">
        <f>22395.83/4</f>
        <v>5598.9575000000004</v>
      </c>
      <c r="N655" s="16">
        <v>0</v>
      </c>
      <c r="O655" s="16">
        <f t="shared" si="23"/>
        <v>7144269.7700000005</v>
      </c>
      <c r="P655" s="19" t="s">
        <v>36</v>
      </c>
    </row>
    <row r="656" spans="1:16" x14ac:dyDescent="0.3">
      <c r="A656" s="8" t="s">
        <v>1115</v>
      </c>
      <c r="B656" s="9">
        <v>5</v>
      </c>
      <c r="C656" s="10" t="s">
        <v>1145</v>
      </c>
      <c r="D656" s="11">
        <v>43969</v>
      </c>
      <c r="E656" s="11">
        <v>43971</v>
      </c>
      <c r="F656" s="31">
        <v>20065000</v>
      </c>
      <c r="G656" s="32">
        <v>0</v>
      </c>
      <c r="H656" s="8" t="s">
        <v>1146</v>
      </c>
      <c r="I656" s="12">
        <v>77188846</v>
      </c>
      <c r="J656" s="13" t="s">
        <v>1147</v>
      </c>
      <c r="K656" s="14">
        <v>50</v>
      </c>
      <c r="L656" s="18" t="s">
        <v>250</v>
      </c>
      <c r="M656" s="16">
        <v>350000</v>
      </c>
      <c r="N656" s="16">
        <v>0</v>
      </c>
      <c r="O656" s="16">
        <f t="shared" si="23"/>
        <v>17500000</v>
      </c>
      <c r="P656" s="14" t="s">
        <v>136</v>
      </c>
    </row>
    <row r="657" spans="1:16" x14ac:dyDescent="0.3">
      <c r="A657" s="8" t="s">
        <v>1115</v>
      </c>
      <c r="B657" s="9">
        <v>5</v>
      </c>
      <c r="C657" s="10" t="s">
        <v>1145</v>
      </c>
      <c r="D657" s="11">
        <v>43969</v>
      </c>
      <c r="E657" s="11">
        <v>43971</v>
      </c>
      <c r="F657" s="31">
        <v>20065000</v>
      </c>
      <c r="G657" s="32">
        <v>0</v>
      </c>
      <c r="H657" s="8" t="s">
        <v>1146</v>
      </c>
      <c r="I657" s="12">
        <v>77188846</v>
      </c>
      <c r="J657" s="13" t="s">
        <v>1148</v>
      </c>
      <c r="K657" s="14">
        <v>57</v>
      </c>
      <c r="L657" s="15" t="s">
        <v>1371</v>
      </c>
      <c r="M657" s="16">
        <v>45000</v>
      </c>
      <c r="N657" s="16">
        <v>0</v>
      </c>
      <c r="O657" s="16">
        <f t="shared" si="23"/>
        <v>2565000</v>
      </c>
      <c r="P657" s="19" t="s">
        <v>237</v>
      </c>
    </row>
    <row r="658" spans="1:16" x14ac:dyDescent="0.3">
      <c r="A658" s="8" t="s">
        <v>1115</v>
      </c>
      <c r="B658" s="9" t="s">
        <v>1149</v>
      </c>
      <c r="C658" s="10" t="s">
        <v>1150</v>
      </c>
      <c r="D658" s="11">
        <v>43994</v>
      </c>
      <c r="E658" s="11">
        <v>43994</v>
      </c>
      <c r="F658" s="31">
        <v>5053127.3099999996</v>
      </c>
      <c r="G658" s="32">
        <v>0</v>
      </c>
      <c r="H658" s="8" t="s">
        <v>1151</v>
      </c>
      <c r="I658" s="12">
        <v>890307682</v>
      </c>
      <c r="J658" s="13" t="s">
        <v>1152</v>
      </c>
      <c r="K658" s="14">
        <v>693</v>
      </c>
      <c r="L658" s="15" t="s">
        <v>250</v>
      </c>
      <c r="M658" s="16">
        <v>7291.67</v>
      </c>
      <c r="N658" s="16">
        <v>0</v>
      </c>
      <c r="O658" s="16">
        <f t="shared" si="23"/>
        <v>5053127.3099999996</v>
      </c>
      <c r="P658" s="19" t="s">
        <v>232</v>
      </c>
    </row>
    <row r="659" spans="1:16" x14ac:dyDescent="0.3">
      <c r="A659" s="8" t="s">
        <v>1115</v>
      </c>
      <c r="B659" s="9">
        <v>6</v>
      </c>
      <c r="C659" s="10" t="s">
        <v>1153</v>
      </c>
      <c r="D659" s="11">
        <v>44000</v>
      </c>
      <c r="E659" s="11">
        <v>44006</v>
      </c>
      <c r="F659" s="31">
        <v>69638644</v>
      </c>
      <c r="G659" s="32">
        <v>0</v>
      </c>
      <c r="H659" s="8" t="s">
        <v>1154</v>
      </c>
      <c r="I659" s="12">
        <v>80014829</v>
      </c>
      <c r="J659" s="13" t="s">
        <v>1427</v>
      </c>
      <c r="K659" s="14">
        <v>15</v>
      </c>
      <c r="L659" s="15" t="s">
        <v>1281</v>
      </c>
      <c r="M659" s="16">
        <f>23212881/15</f>
        <v>1547525.4</v>
      </c>
      <c r="N659" s="16">
        <v>0</v>
      </c>
      <c r="O659" s="16">
        <f>K659*(M659+N659)*3</f>
        <v>69638643</v>
      </c>
      <c r="P659" s="19" t="s">
        <v>1282</v>
      </c>
    </row>
    <row r="660" spans="1:16" x14ac:dyDescent="0.3">
      <c r="A660" s="8" t="s">
        <v>1115</v>
      </c>
      <c r="B660" s="9" t="s">
        <v>1155</v>
      </c>
      <c r="C660" s="10" t="s">
        <v>1228</v>
      </c>
      <c r="D660" s="11">
        <v>44014</v>
      </c>
      <c r="E660" s="11">
        <v>44014</v>
      </c>
      <c r="F660" s="31">
        <v>4436960</v>
      </c>
      <c r="G660" s="32">
        <v>0</v>
      </c>
      <c r="H660" s="8" t="s">
        <v>218</v>
      </c>
      <c r="I660" s="12">
        <v>900155107</v>
      </c>
      <c r="J660" s="13" t="s">
        <v>1156</v>
      </c>
      <c r="K660" s="14">
        <v>80</v>
      </c>
      <c r="L660" s="15" t="s">
        <v>250</v>
      </c>
      <c r="M660" s="16">
        <v>55462</v>
      </c>
      <c r="N660" s="16">
        <v>0</v>
      </c>
      <c r="O660" s="16">
        <f t="shared" si="23"/>
        <v>4436960</v>
      </c>
      <c r="P660" s="19" t="s">
        <v>383</v>
      </c>
    </row>
    <row r="661" spans="1:16" x14ac:dyDescent="0.3">
      <c r="A661" s="8" t="s">
        <v>1115</v>
      </c>
      <c r="B661" s="9" t="s">
        <v>1157</v>
      </c>
      <c r="C661" s="10" t="s">
        <v>1229</v>
      </c>
      <c r="D661" s="11">
        <v>44018</v>
      </c>
      <c r="E661" s="11">
        <v>44018</v>
      </c>
      <c r="F661" s="31">
        <v>24633605</v>
      </c>
      <c r="G661" s="32">
        <v>0</v>
      </c>
      <c r="H661" s="8" t="s">
        <v>1158</v>
      </c>
      <c r="I661" s="12">
        <v>890900943</v>
      </c>
      <c r="J661" s="13" t="s">
        <v>1159</v>
      </c>
      <c r="K661" s="14">
        <v>95</v>
      </c>
      <c r="L661" s="15" t="s">
        <v>250</v>
      </c>
      <c r="M661" s="16">
        <v>252339</v>
      </c>
      <c r="N661" s="16">
        <v>0</v>
      </c>
      <c r="O661" s="16">
        <f t="shared" si="23"/>
        <v>23972205</v>
      </c>
      <c r="P661" s="14" t="s">
        <v>1383</v>
      </c>
    </row>
    <row r="662" spans="1:16" x14ac:dyDescent="0.3">
      <c r="A662" s="8" t="s">
        <v>1115</v>
      </c>
      <c r="B662" s="9" t="s">
        <v>1157</v>
      </c>
      <c r="C662" s="10" t="s">
        <v>1229</v>
      </c>
      <c r="D662" s="11">
        <v>44018</v>
      </c>
      <c r="E662" s="11">
        <v>44018</v>
      </c>
      <c r="F662" s="31">
        <v>24633605</v>
      </c>
      <c r="G662" s="32">
        <v>0</v>
      </c>
      <c r="H662" s="8" t="s">
        <v>1158</v>
      </c>
      <c r="I662" s="12">
        <v>890900943</v>
      </c>
      <c r="J662" s="13" t="s">
        <v>1160</v>
      </c>
      <c r="K662" s="14">
        <v>100</v>
      </c>
      <c r="L662" s="15" t="s">
        <v>250</v>
      </c>
      <c r="M662" s="16">
        <v>6614</v>
      </c>
      <c r="N662" s="16">
        <v>0</v>
      </c>
      <c r="O662" s="16">
        <f t="shared" si="23"/>
        <v>661400</v>
      </c>
      <c r="P662" s="14" t="s">
        <v>1380</v>
      </c>
    </row>
    <row r="663" spans="1:16" x14ac:dyDescent="0.3">
      <c r="A663" s="8" t="s">
        <v>1161</v>
      </c>
      <c r="B663" s="9" t="s">
        <v>1162</v>
      </c>
      <c r="C663" s="10" t="s">
        <v>1163</v>
      </c>
      <c r="D663" s="11">
        <v>43914</v>
      </c>
      <c r="E663" s="11">
        <v>43914</v>
      </c>
      <c r="F663" s="31">
        <v>6674000</v>
      </c>
      <c r="G663" s="32">
        <v>0</v>
      </c>
      <c r="H663" s="8" t="s">
        <v>1164</v>
      </c>
      <c r="I663" s="12">
        <v>901244133</v>
      </c>
      <c r="J663" s="13" t="s">
        <v>1165</v>
      </c>
      <c r="K663" s="24">
        <v>220</v>
      </c>
      <c r="L663" s="15" t="s">
        <v>172</v>
      </c>
      <c r="M663" s="16">
        <f>29900/1.19</f>
        <v>25126.050420168067</v>
      </c>
      <c r="N663" s="16">
        <f>M663*0.19</f>
        <v>4773.9495798319331</v>
      </c>
      <c r="O663" s="16">
        <f t="shared" si="23"/>
        <v>6578000</v>
      </c>
      <c r="P663" s="14" t="s">
        <v>34</v>
      </c>
    </row>
    <row r="664" spans="1:16" x14ac:dyDescent="0.3">
      <c r="A664" s="8" t="s">
        <v>1161</v>
      </c>
      <c r="B664" s="9" t="s">
        <v>1162</v>
      </c>
      <c r="C664" s="10" t="s">
        <v>1163</v>
      </c>
      <c r="D664" s="11">
        <v>43914</v>
      </c>
      <c r="E664" s="11">
        <v>43914</v>
      </c>
      <c r="F664" s="31">
        <v>6674000</v>
      </c>
      <c r="G664" s="32">
        <v>0</v>
      </c>
      <c r="H664" s="8" t="s">
        <v>1164</v>
      </c>
      <c r="I664" s="12">
        <v>901244133</v>
      </c>
      <c r="J664" s="13" t="s">
        <v>1166</v>
      </c>
      <c r="K664" s="14">
        <v>80</v>
      </c>
      <c r="L664" s="15" t="s">
        <v>250</v>
      </c>
      <c r="M664" s="16">
        <f>1200/1.19</f>
        <v>1008.4033613445379</v>
      </c>
      <c r="N664" s="16">
        <f>M664*0.19</f>
        <v>191.59663865546219</v>
      </c>
      <c r="O664" s="16">
        <f t="shared" si="23"/>
        <v>96000</v>
      </c>
      <c r="P664" s="14" t="s">
        <v>1380</v>
      </c>
    </row>
    <row r="665" spans="1:16" x14ac:dyDescent="0.3">
      <c r="A665" s="8" t="s">
        <v>1161</v>
      </c>
      <c r="B665" s="9" t="s">
        <v>1167</v>
      </c>
      <c r="C665" s="10" t="s">
        <v>1168</v>
      </c>
      <c r="D665" s="11">
        <v>43917</v>
      </c>
      <c r="E665" s="11">
        <v>43917</v>
      </c>
      <c r="F665" s="31">
        <v>3918700</v>
      </c>
      <c r="G665" s="32">
        <v>0</v>
      </c>
      <c r="H665" s="8" t="s">
        <v>1169</v>
      </c>
      <c r="I665" s="12">
        <v>900769393</v>
      </c>
      <c r="J665" s="13" t="s">
        <v>1170</v>
      </c>
      <c r="K665" s="14">
        <v>162</v>
      </c>
      <c r="L665" s="15" t="s">
        <v>250</v>
      </c>
      <c r="M665" s="16">
        <v>18151</v>
      </c>
      <c r="N665" s="16">
        <f>M665*0.19</f>
        <v>3448.69</v>
      </c>
      <c r="O665" s="16">
        <f t="shared" si="23"/>
        <v>3499149.78</v>
      </c>
      <c r="P665" s="14" t="s">
        <v>21</v>
      </c>
    </row>
    <row r="666" spans="1:16" x14ac:dyDescent="0.3">
      <c r="A666" s="8" t="s">
        <v>1161</v>
      </c>
      <c r="B666" s="9" t="s">
        <v>1167</v>
      </c>
      <c r="C666" s="10" t="s">
        <v>1168</v>
      </c>
      <c r="D666" s="11">
        <v>43917</v>
      </c>
      <c r="E666" s="11">
        <v>43917</v>
      </c>
      <c r="F666" s="31">
        <v>3918700</v>
      </c>
      <c r="G666" s="32">
        <v>0</v>
      </c>
      <c r="H666" s="8" t="s">
        <v>1169</v>
      </c>
      <c r="I666" s="12">
        <v>900769393</v>
      </c>
      <c r="J666" s="13" t="s">
        <v>1171</v>
      </c>
      <c r="K666" s="14">
        <v>50</v>
      </c>
      <c r="L666" s="15" t="s">
        <v>250</v>
      </c>
      <c r="M666" s="16">
        <v>7051</v>
      </c>
      <c r="N666" s="16">
        <f>M666*0.19</f>
        <v>1339.69</v>
      </c>
      <c r="O666" s="16">
        <f t="shared" si="23"/>
        <v>419534.5</v>
      </c>
      <c r="P666" s="14" t="s">
        <v>261</v>
      </c>
    </row>
    <row r="667" spans="1:16" x14ac:dyDescent="0.3">
      <c r="A667" s="8" t="s">
        <v>1161</v>
      </c>
      <c r="B667" s="9" t="s">
        <v>1172</v>
      </c>
      <c r="C667" s="10" t="s">
        <v>1173</v>
      </c>
      <c r="D667" s="11">
        <v>43943</v>
      </c>
      <c r="E667" s="11">
        <v>43943</v>
      </c>
      <c r="F667" s="31">
        <v>3900000</v>
      </c>
      <c r="G667" s="32">
        <v>0</v>
      </c>
      <c r="H667" s="8" t="s">
        <v>1174</v>
      </c>
      <c r="I667" s="12">
        <v>900536323</v>
      </c>
      <c r="J667" s="13" t="s">
        <v>1276</v>
      </c>
      <c r="K667" s="14">
        <v>3000</v>
      </c>
      <c r="L667" s="15" t="s">
        <v>250</v>
      </c>
      <c r="M667" s="16">
        <v>1300</v>
      </c>
      <c r="N667" s="16">
        <v>0</v>
      </c>
      <c r="O667" s="16">
        <f t="shared" si="23"/>
        <v>3900000</v>
      </c>
      <c r="P667" s="14" t="s">
        <v>95</v>
      </c>
    </row>
    <row r="668" spans="1:16" x14ac:dyDescent="0.3">
      <c r="A668" s="8" t="s">
        <v>1161</v>
      </c>
      <c r="B668" s="9" t="s">
        <v>1175</v>
      </c>
      <c r="C668" s="10" t="s">
        <v>1176</v>
      </c>
      <c r="D668" s="11">
        <v>43965</v>
      </c>
      <c r="E668" s="11">
        <v>43965</v>
      </c>
      <c r="F668" s="31">
        <v>6139500</v>
      </c>
      <c r="G668" s="32">
        <v>0</v>
      </c>
      <c r="H668" s="8" t="s">
        <v>224</v>
      </c>
      <c r="I668" s="12">
        <v>900300970</v>
      </c>
      <c r="J668" s="13" t="s">
        <v>1177</v>
      </c>
      <c r="K668" s="24">
        <v>200</v>
      </c>
      <c r="L668" s="15" t="s">
        <v>172</v>
      </c>
      <c r="M668" s="16">
        <v>15525</v>
      </c>
      <c r="N668" s="16">
        <v>0</v>
      </c>
      <c r="O668" s="16">
        <f t="shared" si="23"/>
        <v>3105000</v>
      </c>
      <c r="P668" s="14" t="s">
        <v>34</v>
      </c>
    </row>
    <row r="669" spans="1:16" x14ac:dyDescent="0.3">
      <c r="A669" s="8" t="s">
        <v>1161</v>
      </c>
      <c r="B669" s="9" t="s">
        <v>1175</v>
      </c>
      <c r="C669" s="10" t="s">
        <v>1176</v>
      </c>
      <c r="D669" s="11">
        <v>43965</v>
      </c>
      <c r="E669" s="11">
        <v>43965</v>
      </c>
      <c r="F669" s="31">
        <v>6139500</v>
      </c>
      <c r="G669" s="32">
        <v>0</v>
      </c>
      <c r="H669" s="8" t="s">
        <v>224</v>
      </c>
      <c r="I669" s="12">
        <v>900300970</v>
      </c>
      <c r="J669" s="13" t="s">
        <v>1178</v>
      </c>
      <c r="K669" s="14">
        <v>500</v>
      </c>
      <c r="L669" s="18" t="s">
        <v>1277</v>
      </c>
      <c r="M669" s="16">
        <v>5100</v>
      </c>
      <c r="N669" s="16">
        <f>M669*0.19</f>
        <v>969</v>
      </c>
      <c r="O669" s="16">
        <f t="shared" si="23"/>
        <v>3034500</v>
      </c>
      <c r="P669" s="14" t="s">
        <v>94</v>
      </c>
    </row>
    <row r="670" spans="1:16" x14ac:dyDescent="0.3">
      <c r="A670" s="8" t="s">
        <v>1161</v>
      </c>
      <c r="B670" s="9" t="s">
        <v>1179</v>
      </c>
      <c r="C670" s="10" t="s">
        <v>1176</v>
      </c>
      <c r="D670" s="11">
        <v>43965</v>
      </c>
      <c r="E670" s="11">
        <v>43965</v>
      </c>
      <c r="F670" s="31">
        <v>4000000</v>
      </c>
      <c r="G670" s="32">
        <v>0</v>
      </c>
      <c r="H670" s="8" t="s">
        <v>1180</v>
      </c>
      <c r="I670" s="12">
        <v>900401081</v>
      </c>
      <c r="J670" s="13" t="s">
        <v>1181</v>
      </c>
      <c r="K670" s="14">
        <v>4000</v>
      </c>
      <c r="L670" s="15" t="s">
        <v>250</v>
      </c>
      <c r="M670" s="16">
        <v>1000</v>
      </c>
      <c r="N670" s="16">
        <v>0</v>
      </c>
      <c r="O670" s="16">
        <f t="shared" si="23"/>
        <v>4000000</v>
      </c>
      <c r="P670" s="14" t="s">
        <v>95</v>
      </c>
    </row>
    <row r="671" spans="1:16" x14ac:dyDescent="0.3">
      <c r="A671" s="8" t="s">
        <v>1161</v>
      </c>
      <c r="B671" s="9" t="s">
        <v>1182</v>
      </c>
      <c r="C671" s="10" t="s">
        <v>1183</v>
      </c>
      <c r="D671" s="11">
        <v>43971</v>
      </c>
      <c r="E671" s="11">
        <v>43971</v>
      </c>
      <c r="F671" s="31">
        <v>3036300</v>
      </c>
      <c r="G671" s="32">
        <v>0</v>
      </c>
      <c r="H671" s="8" t="s">
        <v>1184</v>
      </c>
      <c r="I671" s="12">
        <v>900350133</v>
      </c>
      <c r="J671" s="13" t="s">
        <v>1185</v>
      </c>
      <c r="K671" s="14">
        <v>58</v>
      </c>
      <c r="L671" s="15" t="s">
        <v>531</v>
      </c>
      <c r="M671" s="16">
        <v>52350</v>
      </c>
      <c r="N671" s="16">
        <v>0</v>
      </c>
      <c r="O671" s="16">
        <f t="shared" si="23"/>
        <v>3036300</v>
      </c>
      <c r="P671" s="14" t="s">
        <v>59</v>
      </c>
    </row>
    <row r="672" spans="1:16" x14ac:dyDescent="0.3">
      <c r="A672" s="8" t="s">
        <v>1161</v>
      </c>
      <c r="B672" s="9" t="s">
        <v>1186</v>
      </c>
      <c r="C672" s="10" t="s">
        <v>1187</v>
      </c>
      <c r="D672" s="11">
        <v>43971</v>
      </c>
      <c r="E672" s="11">
        <v>43971</v>
      </c>
      <c r="F672" s="31">
        <v>1004360</v>
      </c>
      <c r="G672" s="32">
        <v>0</v>
      </c>
      <c r="H672" s="8" t="s">
        <v>1188</v>
      </c>
      <c r="I672" s="12">
        <v>830037946</v>
      </c>
      <c r="J672" s="13" t="s">
        <v>1189</v>
      </c>
      <c r="K672" s="14">
        <v>200</v>
      </c>
      <c r="L672" s="15" t="s">
        <v>250</v>
      </c>
      <c r="M672" s="16">
        <v>1666</v>
      </c>
      <c r="N672" s="16">
        <v>0</v>
      </c>
      <c r="O672" s="16">
        <f t="shared" si="23"/>
        <v>333200</v>
      </c>
      <c r="P672" s="14" t="s">
        <v>182</v>
      </c>
    </row>
    <row r="673" spans="1:16" x14ac:dyDescent="0.3">
      <c r="A673" s="8" t="s">
        <v>1161</v>
      </c>
      <c r="B673" s="9" t="s">
        <v>1186</v>
      </c>
      <c r="C673" s="10" t="s">
        <v>1187</v>
      </c>
      <c r="D673" s="11">
        <v>43971</v>
      </c>
      <c r="E673" s="11">
        <v>43971</v>
      </c>
      <c r="F673" s="31">
        <v>1004360</v>
      </c>
      <c r="G673" s="32">
        <v>0</v>
      </c>
      <c r="H673" s="8" t="s">
        <v>1188</v>
      </c>
      <c r="I673" s="12">
        <v>830037946</v>
      </c>
      <c r="J673" s="13" t="s">
        <v>1190</v>
      </c>
      <c r="K673" s="14">
        <v>376</v>
      </c>
      <c r="L673" s="15" t="s">
        <v>250</v>
      </c>
      <c r="M673" s="16">
        <v>1785</v>
      </c>
      <c r="N673" s="16">
        <v>0</v>
      </c>
      <c r="O673" s="16">
        <f t="shared" si="23"/>
        <v>671160</v>
      </c>
      <c r="P673" s="14" t="s">
        <v>182</v>
      </c>
    </row>
    <row r="674" spans="1:16" x14ac:dyDescent="0.3">
      <c r="A674" s="8" t="s">
        <v>1161</v>
      </c>
      <c r="B674" s="9" t="s">
        <v>1191</v>
      </c>
      <c r="C674" s="10" t="s">
        <v>1192</v>
      </c>
      <c r="D674" s="11">
        <v>43986</v>
      </c>
      <c r="E674" s="11">
        <v>43986</v>
      </c>
      <c r="F674" s="31">
        <v>1560000</v>
      </c>
      <c r="G674" s="32">
        <v>0</v>
      </c>
      <c r="H674" s="8" t="s">
        <v>1193</v>
      </c>
      <c r="I674" s="12">
        <v>900346622</v>
      </c>
      <c r="J674" s="13" t="s">
        <v>1379</v>
      </c>
      <c r="K674" s="14">
        <v>30</v>
      </c>
      <c r="L674" s="15" t="s">
        <v>250</v>
      </c>
      <c r="M674" s="16">
        <v>52000</v>
      </c>
      <c r="N674" s="16">
        <v>0</v>
      </c>
      <c r="O674" s="16">
        <f t="shared" si="23"/>
        <v>1560000</v>
      </c>
      <c r="P674" s="14" t="s">
        <v>1383</v>
      </c>
    </row>
    <row r="675" spans="1:16" x14ac:dyDescent="0.3">
      <c r="A675" s="8" t="s">
        <v>1161</v>
      </c>
      <c r="B675" s="9" t="s">
        <v>1194</v>
      </c>
      <c r="C675" s="10" t="s">
        <v>1192</v>
      </c>
      <c r="D675" s="11">
        <v>43986</v>
      </c>
      <c r="E675" s="11">
        <v>43986</v>
      </c>
      <c r="F675" s="31">
        <v>3900000</v>
      </c>
      <c r="G675" s="32">
        <v>0</v>
      </c>
      <c r="H675" s="8" t="s">
        <v>1195</v>
      </c>
      <c r="I675" s="12">
        <v>890935513</v>
      </c>
      <c r="J675" s="13" t="s">
        <v>1196</v>
      </c>
      <c r="K675" s="14">
        <v>15</v>
      </c>
      <c r="L675" s="15" t="s">
        <v>250</v>
      </c>
      <c r="M675" s="16">
        <v>260000</v>
      </c>
      <c r="N675" s="16">
        <v>0</v>
      </c>
      <c r="O675" s="16">
        <f t="shared" si="23"/>
        <v>3900000</v>
      </c>
      <c r="P675" s="14" t="s">
        <v>136</v>
      </c>
    </row>
    <row r="676" spans="1:16" x14ac:dyDescent="0.3">
      <c r="A676" s="8" t="s">
        <v>1161</v>
      </c>
      <c r="B676" s="9" t="s">
        <v>1197</v>
      </c>
      <c r="C676" s="10" t="s">
        <v>1198</v>
      </c>
      <c r="D676" s="11">
        <v>44001</v>
      </c>
      <c r="E676" s="11">
        <v>44001</v>
      </c>
      <c r="F676" s="31">
        <v>3957720</v>
      </c>
      <c r="G676" s="32">
        <v>0</v>
      </c>
      <c r="H676" s="8" t="s">
        <v>715</v>
      </c>
      <c r="I676" s="12">
        <v>900155107</v>
      </c>
      <c r="J676" s="13" t="s">
        <v>1199</v>
      </c>
      <c r="K676" s="14">
        <v>5</v>
      </c>
      <c r="L676" s="15" t="s">
        <v>1200</v>
      </c>
      <c r="M676" s="16">
        <v>126000</v>
      </c>
      <c r="N676" s="16">
        <v>0</v>
      </c>
      <c r="O676" s="16">
        <f t="shared" si="23"/>
        <v>630000</v>
      </c>
      <c r="P676" s="14" t="s">
        <v>237</v>
      </c>
    </row>
    <row r="677" spans="1:16" x14ac:dyDescent="0.3">
      <c r="A677" s="8" t="s">
        <v>1161</v>
      </c>
      <c r="B677" s="9" t="s">
        <v>1197</v>
      </c>
      <c r="C677" s="10" t="s">
        <v>1198</v>
      </c>
      <c r="D677" s="11">
        <v>44001</v>
      </c>
      <c r="E677" s="11">
        <v>44001</v>
      </c>
      <c r="F677" s="31">
        <v>3957720</v>
      </c>
      <c r="G677" s="32">
        <v>0</v>
      </c>
      <c r="H677" s="8" t="s">
        <v>715</v>
      </c>
      <c r="I677" s="12">
        <v>900155107</v>
      </c>
      <c r="J677" s="13" t="s">
        <v>1201</v>
      </c>
      <c r="K677" s="14">
        <v>60</v>
      </c>
      <c r="L677" s="15" t="s">
        <v>250</v>
      </c>
      <c r="M677" s="16">
        <v>55462</v>
      </c>
      <c r="N677" s="16">
        <v>0</v>
      </c>
      <c r="O677" s="16">
        <f t="shared" si="23"/>
        <v>3327720</v>
      </c>
      <c r="P677" s="14" t="s">
        <v>383</v>
      </c>
    </row>
    <row r="678" spans="1:16" x14ac:dyDescent="0.3">
      <c r="A678" s="8" t="s">
        <v>1161</v>
      </c>
      <c r="B678" s="9" t="s">
        <v>1202</v>
      </c>
      <c r="C678" s="10" t="s">
        <v>1203</v>
      </c>
      <c r="D678" s="11">
        <v>44001</v>
      </c>
      <c r="E678" s="11">
        <v>44001</v>
      </c>
      <c r="F678" s="31">
        <v>1063680</v>
      </c>
      <c r="G678" s="32">
        <v>0</v>
      </c>
      <c r="H678" s="8" t="s">
        <v>149</v>
      </c>
      <c r="I678" s="12">
        <v>830037946</v>
      </c>
      <c r="J678" s="13" t="s">
        <v>1287</v>
      </c>
      <c r="K678" s="14">
        <v>6</v>
      </c>
      <c r="L678" s="15" t="s">
        <v>1204</v>
      </c>
      <c r="M678" s="16">
        <v>44030</v>
      </c>
      <c r="N678" s="16">
        <v>0</v>
      </c>
      <c r="O678" s="16">
        <f t="shared" si="23"/>
        <v>264180</v>
      </c>
      <c r="P678" s="14" t="s">
        <v>237</v>
      </c>
    </row>
    <row r="679" spans="1:16" x14ac:dyDescent="0.3">
      <c r="A679" s="8" t="s">
        <v>1161</v>
      </c>
      <c r="B679" s="9" t="s">
        <v>1202</v>
      </c>
      <c r="C679" s="10" t="s">
        <v>1203</v>
      </c>
      <c r="D679" s="11">
        <v>44001</v>
      </c>
      <c r="E679" s="11">
        <v>44001</v>
      </c>
      <c r="F679" s="31">
        <v>1063680</v>
      </c>
      <c r="G679" s="32">
        <v>0</v>
      </c>
      <c r="H679" s="8" t="s">
        <v>149</v>
      </c>
      <c r="I679" s="12">
        <v>830037946</v>
      </c>
      <c r="J679" s="13" t="s">
        <v>1388</v>
      </c>
      <c r="K679" s="14">
        <v>40</v>
      </c>
      <c r="L679" s="15" t="s">
        <v>1246</v>
      </c>
      <c r="M679" s="16">
        <f>9996*2</f>
        <v>19992</v>
      </c>
      <c r="N679" s="16">
        <v>0</v>
      </c>
      <c r="O679" s="16">
        <f t="shared" si="23"/>
        <v>799680</v>
      </c>
      <c r="P679" s="14" t="s">
        <v>1387</v>
      </c>
    </row>
    <row r="680" spans="1:16" x14ac:dyDescent="0.3">
      <c r="A680" s="8" t="s">
        <v>1161</v>
      </c>
      <c r="B680" s="9" t="s">
        <v>1205</v>
      </c>
      <c r="C680" s="10" t="s">
        <v>1206</v>
      </c>
      <c r="D680" s="11">
        <v>44008</v>
      </c>
      <c r="E680" s="11">
        <v>44008</v>
      </c>
      <c r="F680" s="31">
        <v>1949822</v>
      </c>
      <c r="G680" s="32">
        <v>0</v>
      </c>
      <c r="H680" s="8" t="s">
        <v>51</v>
      </c>
      <c r="I680" s="12">
        <v>830001338</v>
      </c>
      <c r="J680" s="13" t="s">
        <v>1207</v>
      </c>
      <c r="K680" s="24">
        <f>(354*750)/1000</f>
        <v>265.5</v>
      </c>
      <c r="L680" s="15" t="s">
        <v>172</v>
      </c>
      <c r="M680" s="16">
        <f>4943*1000/750</f>
        <v>6590.666666666667</v>
      </c>
      <c r="N680" s="16">
        <v>0</v>
      </c>
      <c r="O680" s="16">
        <f t="shared" si="23"/>
        <v>1749822</v>
      </c>
      <c r="P680" s="14" t="s">
        <v>96</v>
      </c>
    </row>
    <row r="681" spans="1:16" x14ac:dyDescent="0.3">
      <c r="A681" s="8" t="s">
        <v>1161</v>
      </c>
      <c r="B681" s="9" t="s">
        <v>1208</v>
      </c>
      <c r="C681" s="10" t="s">
        <v>1206</v>
      </c>
      <c r="D681" s="11">
        <v>44008</v>
      </c>
      <c r="E681" s="11">
        <v>44008</v>
      </c>
      <c r="F681" s="31">
        <v>2535000</v>
      </c>
      <c r="G681" s="32">
        <v>0</v>
      </c>
      <c r="H681" s="8" t="s">
        <v>1209</v>
      </c>
      <c r="I681" s="12">
        <v>900505419</v>
      </c>
      <c r="J681" s="13" t="s">
        <v>1210</v>
      </c>
      <c r="K681" s="14">
        <v>350</v>
      </c>
      <c r="L681" s="15" t="s">
        <v>250</v>
      </c>
      <c r="M681" s="16">
        <v>6900</v>
      </c>
      <c r="N681" s="16">
        <v>0</v>
      </c>
      <c r="O681" s="16">
        <f t="shared" si="23"/>
        <v>2415000</v>
      </c>
      <c r="P681" s="14" t="s">
        <v>232</v>
      </c>
    </row>
    <row r="682" spans="1:16" x14ac:dyDescent="0.3">
      <c r="A682" s="8" t="s">
        <v>1161</v>
      </c>
      <c r="B682" s="9" t="s">
        <v>1211</v>
      </c>
      <c r="C682" s="10" t="s">
        <v>1206</v>
      </c>
      <c r="D682" s="11">
        <v>44008</v>
      </c>
      <c r="E682" s="11">
        <v>44008</v>
      </c>
      <c r="F682" s="31">
        <v>2844000</v>
      </c>
      <c r="G682" s="32">
        <v>0</v>
      </c>
      <c r="H682" s="8" t="s">
        <v>224</v>
      </c>
      <c r="I682" s="12">
        <v>900300970</v>
      </c>
      <c r="J682" s="13" t="s">
        <v>59</v>
      </c>
      <c r="K682" s="14">
        <v>60</v>
      </c>
      <c r="L682" s="15" t="s">
        <v>531</v>
      </c>
      <c r="M682" s="16">
        <v>46900</v>
      </c>
      <c r="N682" s="16">
        <v>0</v>
      </c>
      <c r="O682" s="16">
        <f t="shared" si="23"/>
        <v>2814000</v>
      </c>
      <c r="P682" s="14" t="s">
        <v>59</v>
      </c>
    </row>
    <row r="683" spans="1:16" x14ac:dyDescent="0.3">
      <c r="A683" s="8" t="s">
        <v>1161</v>
      </c>
      <c r="B683" s="9" t="s">
        <v>1212</v>
      </c>
      <c r="C683" s="10" t="s">
        <v>1213</v>
      </c>
      <c r="D683" s="11">
        <v>44008</v>
      </c>
      <c r="E683" s="11">
        <v>44008</v>
      </c>
      <c r="F683" s="31">
        <v>5394001</v>
      </c>
      <c r="G683" s="32">
        <v>0</v>
      </c>
      <c r="H683" s="8" t="s">
        <v>51</v>
      </c>
      <c r="I683" s="12">
        <v>830001338</v>
      </c>
      <c r="J683" s="13" t="s">
        <v>1214</v>
      </c>
      <c r="K683" s="14">
        <v>6000</v>
      </c>
      <c r="L683" s="15" t="s">
        <v>250</v>
      </c>
      <c r="M683" s="16">
        <v>899</v>
      </c>
      <c r="N683" s="16">
        <v>0</v>
      </c>
      <c r="O683" s="16">
        <f t="shared" si="23"/>
        <v>5394000</v>
      </c>
      <c r="P683" s="14" t="s">
        <v>95</v>
      </c>
    </row>
    <row r="684" spans="1:16" x14ac:dyDescent="0.3">
      <c r="A684" s="8" t="s">
        <v>1161</v>
      </c>
      <c r="B684" s="9" t="s">
        <v>1215</v>
      </c>
      <c r="C684" s="10" t="s">
        <v>1230</v>
      </c>
      <c r="D684" s="11">
        <v>44034</v>
      </c>
      <c r="E684" s="11">
        <v>44034</v>
      </c>
      <c r="F684" s="31">
        <v>2410000</v>
      </c>
      <c r="G684" s="32">
        <v>0</v>
      </c>
      <c r="H684" s="8" t="s">
        <v>715</v>
      </c>
      <c r="I684" s="12">
        <v>901211678</v>
      </c>
      <c r="J684" s="13" t="s">
        <v>231</v>
      </c>
      <c r="K684" s="14">
        <v>600</v>
      </c>
      <c r="L684" s="15" t="s">
        <v>250</v>
      </c>
      <c r="M684" s="16">
        <v>3850</v>
      </c>
      <c r="N684" s="16">
        <v>0</v>
      </c>
      <c r="O684" s="16">
        <f t="shared" si="23"/>
        <v>2310000</v>
      </c>
      <c r="P684" s="14" t="s">
        <v>232</v>
      </c>
    </row>
  </sheetData>
  <autoFilter ref="A1:P684">
    <sortState ref="A2:P751">
      <sortCondition ref="A2:A751"/>
    </sortState>
  </autoFilter>
  <sortState ref="A2:P730">
    <sortCondition ref="A2:A730"/>
  </sortState>
  <dataValidations xWindow="1291" yWindow="434" count="22">
    <dataValidation type="date" allowBlank="1" showInputMessage="1" errorTitle="Entrada no válida" error="Por favor escriba una fecha válida (AAAA/MM/DD)" promptTitle="Ingrese una fecha (AAAA/MM/DD)" prompt=" Registre la fecha en la cual se SUSCRIBIÓ la orden (Formato AAAA/MM/DD)." sqref="D9:E12 D83:E86 D135:E136 D137 D235:E235 D252:E259 D265:E266 D296:E317 D493:E495 D503:E504 D508:E508 D535:E537 D522:E523 D553:E554 D559:E560 D547:E550 D335:E459 D563:E564 D583:E583 D628:E637 D639:E639 D641:E641 D644:E649 D669:E673 E682:E684 D682:D683 D214:E221 D166:E175 D141:E141 E137:E140 D224:E23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8:E8 D47:D55 D89 E95:E98 D133:D134 D116:D125 D106:D110 D153:D165 E234 D260:E264 D267:D295 D318:D334 D506:D507 D505:E505 E502 E496:E497 D496:D502 D521 D528:D534 D555:D558 D551:E552 D538:E546 D561:D562 D460:D461 E570:E573 D469:D492 D625:E627 D638 D641 D650 D674:D676 D681 D684 D620:D624 D584:D602 D565:D582 D236:D251 D233:D234 D222:D223 D142:D149 D95:D104 D65:D8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2 A2:B2 D5:I7 A5:B7 G8 E47:E55 E63 E60:E61 E89 E106:E125 E153:E165 E233 E267:E280 E286:E295 E318:E334 E489:E492 E506 E498:E501 E514:E520 E528:E534 E561:E562 E555:E558 E565:E569 E469:E485 E638 E641 E650 E674:E681 D651:I668 A651:B668 E620:E624 E586:E602 E574:E582 E236:E251 E142:E149 E99:E103 E65:E82 A22:B39 D22:I39 E128:E134 D40:E4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89 F108:F110 F116:F125 F153:F163 F233 F267:F280 F286:F295 F318:F330 F469:F485 F495:F502 F489:F492 F505 F638 F647 F649 F640:F645 F675:F676 F681 F620:F624 F555:F582 F552:F553 F47:F81 F222:F225 F142:F149 F95:F102 F236:F251 F265 F586:F60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108:A110 A136 A168:A280 A151:A165 A286:A293 A296:A317 A535:A537 A486:A512 A671:A676 A681 A684 A563:A602 A142:A149 A47:A105 A116:A132">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63 I54:I61 I65:I75 I89 I99 I116:I117 I161:I167 I233 I241:I245 I260:I264 I286:I287 I267:I278 I290:I293 I304:I306 I318:I336 I498:I500 I489:I492 I502:I504 I506 I495 I508 I535:I537 I457:I459 I565:I569 I582:I583 I462:I485 I614:I615 I628:I638 I641:I643 I669:I676 I681:I684 I645:I650 I620:I624 I574:I580 I236:I238 I224:I231 I141:I149 I136:I137 I102 I78:I81 I128:I13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62 I64 I76:I77 I47:I53 I83:I86 I100:I101 I108 I140 I164:I165 I153:I160 I235 I265:I266 I296:I297 I294 I279:I280 I501 I505 I493 I581 I639:I640 I644 I118:I127">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83:H86 H535:H537 H89 H116:H125 H106:H110 H171:H175 H241:H245 H252:H280 H286:H293 H502:H505 H489:H492 H508 H495:H500 H47:H59 H62:H70 H296:H304 H306:H336 H457:H459 H580:H583 H462:H485 H614:H615 H669:H676 H681:H684 H628:H650 H620:H624 H565:H578 H153:H169 H141:H149 H135:H137 H99:H102 H73:H81 H221:H23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7:B55 B89 B135 B109:B110 B116:B125 B65:B86 B153:B165 B171:B175 B265:B303 B307:B334 B505:B507 B495:B502 B535 B460:B461 B479:B493 B647 B639:B640 B675:B676 B681 B684 B584:B602 B563:B582 B233:B259 B221:B223 B168:B169 B142:B149 B99:B104 D126:D12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83:F86 F166:F169 F221 F234 F252 F296:F297 F304:F317 F335:F336 F503:F504 F508:F513 F535:F537 F457:F459 F462:F468 F583 F135:F137 F628:F637 F639:F645 F647:F649 F669:F673 F682:F684 F141 F226:F2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104 J486:J487 J489 C684">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E126:E1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H126:H127">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F126:F127">
      <formula1>0</formula1>
      <formula2>8</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B126:B127">
      <formula1>0</formula1>
      <formula2>290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11:A115 A677:A68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16:G117 G136 G176:G184 G188:G195 G236 G267:G268 G494:G505 G565:G569 G601 G574:G581 G211:G220 G197:G209 G1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135 A166:A167 A669:A670 A682:A683 A137:A14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136 C171:C175 H493 C639:C64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66:B167 B304:B306 B335:B336 B503:B504 B536:B537 B457:B459 B462:B468 B583 B614:B615 B669:B673 B682:B683 B141 B136:B137 B224:B2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D462:E468 D614:D6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E222:E223">
      <formula1>1900/1/1</formula1>
      <formula2>3000/1/1</formula2>
    </dataValidation>
  </dataValidations>
  <pageMargins left="0.7" right="0.7" top="0.75" bottom="0.75" header="0.3" footer="0.3"/>
  <pageSetup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J1" workbookViewId="0">
      <selection activeCell="O1" sqref="O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56</v>
      </c>
      <c r="C2" s="10" t="s">
        <v>57</v>
      </c>
      <c r="D2" s="11">
        <v>43985</v>
      </c>
      <c r="E2" s="11">
        <v>43985</v>
      </c>
      <c r="F2" s="31">
        <v>6047350</v>
      </c>
      <c r="G2" s="32">
        <v>0</v>
      </c>
      <c r="H2" s="8" t="s">
        <v>58</v>
      </c>
      <c r="I2" s="12">
        <v>900350133</v>
      </c>
      <c r="J2" s="13" t="s">
        <v>59</v>
      </c>
      <c r="K2" s="14">
        <v>110</v>
      </c>
      <c r="L2" s="15" t="s">
        <v>531</v>
      </c>
      <c r="M2" s="16">
        <v>46198.239999999998</v>
      </c>
      <c r="N2" s="16">
        <f t="shared" ref="N2" si="0">M2*19%</f>
        <v>8777.6656000000003</v>
      </c>
      <c r="O2" s="16">
        <f t="shared" ref="O2:O4" si="1">K2*(M2+N2)</f>
        <v>6047349.6159999995</v>
      </c>
      <c r="P2" s="14" t="s">
        <v>59</v>
      </c>
    </row>
    <row r="3" spans="1:16" x14ac:dyDescent="0.3">
      <c r="A3" s="8" t="s">
        <v>1289</v>
      </c>
      <c r="B3" s="9" t="s">
        <v>1308</v>
      </c>
      <c r="C3" s="17" t="s">
        <v>1309</v>
      </c>
      <c r="D3" s="11">
        <v>43969</v>
      </c>
      <c r="E3" s="11">
        <v>43969</v>
      </c>
      <c r="F3" s="31">
        <v>6890700</v>
      </c>
      <c r="G3" s="32">
        <v>0</v>
      </c>
      <c r="H3" s="8" t="s">
        <v>368</v>
      </c>
      <c r="I3" s="12">
        <v>900155107</v>
      </c>
      <c r="J3" s="13" t="s">
        <v>60</v>
      </c>
      <c r="K3" s="14">
        <v>100</v>
      </c>
      <c r="L3" s="18" t="s">
        <v>531</v>
      </c>
      <c r="M3" s="16">
        <v>68907</v>
      </c>
      <c r="N3" s="16">
        <v>0</v>
      </c>
      <c r="O3" s="16">
        <f t="shared" si="1"/>
        <v>6890700</v>
      </c>
      <c r="P3" s="19" t="s">
        <v>59</v>
      </c>
    </row>
    <row r="4" spans="1:16" x14ac:dyDescent="0.3">
      <c r="A4" s="8" t="s">
        <v>86</v>
      </c>
      <c r="B4" s="9">
        <v>52439</v>
      </c>
      <c r="C4" s="10" t="s">
        <v>142</v>
      </c>
      <c r="D4" s="11">
        <v>44034</v>
      </c>
      <c r="E4" s="11">
        <v>44034</v>
      </c>
      <c r="F4" s="31">
        <v>27417000</v>
      </c>
      <c r="G4" s="32">
        <v>0</v>
      </c>
      <c r="H4" s="8" t="s">
        <v>143</v>
      </c>
      <c r="I4" s="12">
        <v>9005671308</v>
      </c>
      <c r="J4" s="13" t="s">
        <v>144</v>
      </c>
      <c r="K4" s="14">
        <v>703</v>
      </c>
      <c r="L4" s="15" t="s">
        <v>531</v>
      </c>
      <c r="M4" s="16">
        <v>39000</v>
      </c>
      <c r="N4" s="16">
        <v>0</v>
      </c>
      <c r="O4" s="16">
        <f t="shared" si="1"/>
        <v>27417000</v>
      </c>
      <c r="P4" s="14" t="s">
        <v>59</v>
      </c>
    </row>
    <row r="5" spans="1:16" x14ac:dyDescent="0.3">
      <c r="A5" s="8" t="s">
        <v>153</v>
      </c>
      <c r="B5" s="9" t="s">
        <v>209</v>
      </c>
      <c r="C5" s="10" t="s">
        <v>210</v>
      </c>
      <c r="D5" s="11">
        <v>43970</v>
      </c>
      <c r="E5" s="11">
        <v>43970</v>
      </c>
      <c r="F5" s="31">
        <v>9318300</v>
      </c>
      <c r="G5" s="32">
        <v>0</v>
      </c>
      <c r="H5" s="8" t="s">
        <v>211</v>
      </c>
      <c r="I5" s="12">
        <v>900350133</v>
      </c>
      <c r="J5" s="13" t="s">
        <v>59</v>
      </c>
      <c r="K5" s="14">
        <f>178</f>
        <v>178</v>
      </c>
      <c r="L5" s="15" t="s">
        <v>531</v>
      </c>
      <c r="M5" s="16">
        <f>52350</f>
        <v>52350</v>
      </c>
      <c r="N5" s="16">
        <v>0</v>
      </c>
      <c r="O5" s="16">
        <f>K5*M5</f>
        <v>9318300</v>
      </c>
      <c r="P5" s="14" t="s">
        <v>59</v>
      </c>
    </row>
    <row r="6" spans="1:16" x14ac:dyDescent="0.3">
      <c r="A6" s="8" t="s">
        <v>153</v>
      </c>
      <c r="B6" s="9" t="s">
        <v>248</v>
      </c>
      <c r="C6" s="10" t="s">
        <v>1217</v>
      </c>
      <c r="D6" s="11">
        <v>44041</v>
      </c>
      <c r="E6" s="11">
        <v>44041</v>
      </c>
      <c r="F6" s="31">
        <v>49100000</v>
      </c>
      <c r="G6" s="32">
        <v>0</v>
      </c>
      <c r="H6" s="8" t="s">
        <v>249</v>
      </c>
      <c r="I6" s="12">
        <v>900567130</v>
      </c>
      <c r="J6" s="13" t="s">
        <v>59</v>
      </c>
      <c r="K6" s="14">
        <f>1080</f>
        <v>1080</v>
      </c>
      <c r="L6" s="15" t="s">
        <v>531</v>
      </c>
      <c r="M6" s="16">
        <f>45000</f>
        <v>45000</v>
      </c>
      <c r="N6" s="16">
        <v>0</v>
      </c>
      <c r="O6" s="16">
        <f t="shared" ref="O6:O12" si="2">K6*(M6+N6)</f>
        <v>48600000</v>
      </c>
      <c r="P6" s="14" t="s">
        <v>59</v>
      </c>
    </row>
    <row r="7" spans="1:16" x14ac:dyDescent="0.3">
      <c r="A7" s="8" t="s">
        <v>252</v>
      </c>
      <c r="B7" s="9" t="s">
        <v>257</v>
      </c>
      <c r="C7" s="10" t="s">
        <v>258</v>
      </c>
      <c r="D7" s="11">
        <v>43916</v>
      </c>
      <c r="E7" s="11">
        <v>43917</v>
      </c>
      <c r="F7" s="31">
        <v>21397390</v>
      </c>
      <c r="G7" s="32">
        <v>0</v>
      </c>
      <c r="H7" s="8" t="s">
        <v>259</v>
      </c>
      <c r="I7" s="12">
        <v>901165706</v>
      </c>
      <c r="J7" s="13" t="s">
        <v>263</v>
      </c>
      <c r="K7" s="14">
        <v>40</v>
      </c>
      <c r="L7" s="15" t="s">
        <v>531</v>
      </c>
      <c r="M7" s="16">
        <v>100000</v>
      </c>
      <c r="N7" s="16">
        <v>19000</v>
      </c>
      <c r="O7" s="16">
        <f t="shared" si="2"/>
        <v>4760000</v>
      </c>
      <c r="P7" s="14" t="s">
        <v>59</v>
      </c>
    </row>
    <row r="8" spans="1:16" x14ac:dyDescent="0.3">
      <c r="A8" s="8" t="s">
        <v>252</v>
      </c>
      <c r="B8" s="9" t="s">
        <v>119</v>
      </c>
      <c r="C8" s="10" t="s">
        <v>297</v>
      </c>
      <c r="D8" s="11">
        <v>43990</v>
      </c>
      <c r="E8" s="11">
        <v>43991</v>
      </c>
      <c r="F8" s="31">
        <v>87724140</v>
      </c>
      <c r="G8" s="32">
        <v>87708173</v>
      </c>
      <c r="H8" s="8" t="s">
        <v>298</v>
      </c>
      <c r="I8" s="12">
        <v>800078360</v>
      </c>
      <c r="J8" s="13" t="s">
        <v>299</v>
      </c>
      <c r="K8" s="14">
        <v>2569</v>
      </c>
      <c r="L8" s="15" t="s">
        <v>531</v>
      </c>
      <c r="M8" s="16">
        <v>63077</v>
      </c>
      <c r="N8" s="16">
        <v>0</v>
      </c>
      <c r="O8" s="16">
        <f t="shared" si="2"/>
        <v>162044813</v>
      </c>
      <c r="P8" s="14" t="s">
        <v>59</v>
      </c>
    </row>
    <row r="9" spans="1:16" x14ac:dyDescent="0.3">
      <c r="A9" s="8" t="s">
        <v>320</v>
      </c>
      <c r="B9" s="9" t="s">
        <v>336</v>
      </c>
      <c r="C9" s="10" t="s">
        <v>337</v>
      </c>
      <c r="D9" s="11">
        <v>43971</v>
      </c>
      <c r="E9" s="11">
        <v>43972</v>
      </c>
      <c r="F9" s="31">
        <v>14952000</v>
      </c>
      <c r="G9" s="32">
        <v>0</v>
      </c>
      <c r="H9" s="8" t="s">
        <v>333</v>
      </c>
      <c r="I9" s="12">
        <v>900881350</v>
      </c>
      <c r="J9" s="13" t="s">
        <v>338</v>
      </c>
      <c r="K9" s="14">
        <v>336</v>
      </c>
      <c r="L9" s="15" t="s">
        <v>531</v>
      </c>
      <c r="M9" s="16">
        <v>44500</v>
      </c>
      <c r="N9" s="16">
        <v>0</v>
      </c>
      <c r="O9" s="16">
        <f t="shared" si="2"/>
        <v>14952000</v>
      </c>
      <c r="P9" s="14" t="s">
        <v>59</v>
      </c>
    </row>
    <row r="10" spans="1:16" x14ac:dyDescent="0.3">
      <c r="A10" s="8" t="s">
        <v>320</v>
      </c>
      <c r="B10" s="9" t="s">
        <v>349</v>
      </c>
      <c r="C10" s="10" t="s">
        <v>350</v>
      </c>
      <c r="D10" s="11">
        <v>43956</v>
      </c>
      <c r="E10" s="11">
        <v>43956</v>
      </c>
      <c r="F10" s="31">
        <v>9600000</v>
      </c>
      <c r="G10" s="32">
        <v>0</v>
      </c>
      <c r="H10" s="8" t="s">
        <v>342</v>
      </c>
      <c r="I10" s="12">
        <v>900353659</v>
      </c>
      <c r="J10" s="13" t="s">
        <v>351</v>
      </c>
      <c r="K10" s="14">
        <v>200</v>
      </c>
      <c r="L10" s="15" t="s">
        <v>531</v>
      </c>
      <c r="M10" s="16">
        <v>45000</v>
      </c>
      <c r="N10" s="16">
        <v>0</v>
      </c>
      <c r="O10" s="16">
        <f t="shared" si="2"/>
        <v>9000000</v>
      </c>
      <c r="P10" s="14" t="s">
        <v>59</v>
      </c>
    </row>
    <row r="11" spans="1:16" x14ac:dyDescent="0.3">
      <c r="A11" s="8" t="s">
        <v>1322</v>
      </c>
      <c r="B11" s="9" t="s">
        <v>1330</v>
      </c>
      <c r="C11" s="17" t="s">
        <v>1331</v>
      </c>
      <c r="D11" s="11">
        <v>43945</v>
      </c>
      <c r="E11" s="11">
        <v>43945</v>
      </c>
      <c r="F11" s="31">
        <v>37196160</v>
      </c>
      <c r="G11" s="32">
        <v>0</v>
      </c>
      <c r="H11" s="8" t="s">
        <v>200</v>
      </c>
      <c r="I11" s="12">
        <v>800037946</v>
      </c>
      <c r="J11" s="13" t="s">
        <v>1332</v>
      </c>
      <c r="K11" s="14">
        <v>93</v>
      </c>
      <c r="L11" s="15" t="s">
        <v>531</v>
      </c>
      <c r="M11" s="16">
        <v>57800</v>
      </c>
      <c r="N11" s="16">
        <v>0</v>
      </c>
      <c r="O11" s="16">
        <f t="shared" si="2"/>
        <v>5375400</v>
      </c>
      <c r="P11" s="19" t="s">
        <v>59</v>
      </c>
    </row>
    <row r="12" spans="1:16" x14ac:dyDescent="0.3">
      <c r="A12" s="8" t="s">
        <v>1322</v>
      </c>
      <c r="B12" s="9" t="s">
        <v>1355</v>
      </c>
      <c r="C12" s="17" t="s">
        <v>1356</v>
      </c>
      <c r="D12" s="11">
        <v>43969</v>
      </c>
      <c r="E12" s="11">
        <v>43969</v>
      </c>
      <c r="F12" s="31">
        <v>28900000</v>
      </c>
      <c r="G12" s="32">
        <v>0</v>
      </c>
      <c r="H12" s="8" t="s">
        <v>1357</v>
      </c>
      <c r="I12" s="12">
        <v>830037946</v>
      </c>
      <c r="J12" s="13" t="s">
        <v>1332</v>
      </c>
      <c r="K12" s="14">
        <v>500</v>
      </c>
      <c r="L12" s="15" t="s">
        <v>531</v>
      </c>
      <c r="M12" s="16">
        <v>57000</v>
      </c>
      <c r="N12" s="16">
        <v>0</v>
      </c>
      <c r="O12" s="16">
        <f t="shared" si="2"/>
        <v>28500000</v>
      </c>
      <c r="P12" s="19" t="s">
        <v>59</v>
      </c>
    </row>
    <row r="13" spans="1:16" x14ac:dyDescent="0.3">
      <c r="A13" s="8" t="s">
        <v>387</v>
      </c>
      <c r="B13" s="9" t="s">
        <v>392</v>
      </c>
      <c r="C13" s="10" t="s">
        <v>393</v>
      </c>
      <c r="D13" s="11">
        <v>43963</v>
      </c>
      <c r="E13" s="11">
        <v>43963</v>
      </c>
      <c r="F13" s="31">
        <v>166018725</v>
      </c>
      <c r="G13" s="32">
        <v>0</v>
      </c>
      <c r="H13" s="8" t="s">
        <v>390</v>
      </c>
      <c r="I13" s="12">
        <v>813005241</v>
      </c>
      <c r="J13" s="13" t="s">
        <v>394</v>
      </c>
      <c r="K13" s="14">
        <v>600</v>
      </c>
      <c r="L13" s="15" t="s">
        <v>531</v>
      </c>
      <c r="M13" s="16">
        <v>42100</v>
      </c>
      <c r="N13" s="16">
        <v>0</v>
      </c>
      <c r="O13" s="16">
        <f>K13*(M13+N13)</f>
        <v>25260000</v>
      </c>
      <c r="P13" s="14" t="s">
        <v>59</v>
      </c>
    </row>
    <row r="14" spans="1:16" x14ac:dyDescent="0.3">
      <c r="A14" s="8" t="s">
        <v>387</v>
      </c>
      <c r="B14" s="9" t="s">
        <v>397</v>
      </c>
      <c r="C14" s="10" t="s">
        <v>398</v>
      </c>
      <c r="D14" s="11">
        <v>44015</v>
      </c>
      <c r="E14" s="11">
        <v>44018</v>
      </c>
      <c r="F14" s="31">
        <v>201000100</v>
      </c>
      <c r="G14" s="32">
        <v>0</v>
      </c>
      <c r="H14" s="8" t="s">
        <v>390</v>
      </c>
      <c r="I14" s="12">
        <v>813005241</v>
      </c>
      <c r="J14" s="13" t="s">
        <v>399</v>
      </c>
      <c r="K14" s="14">
        <v>265</v>
      </c>
      <c r="L14" s="15" t="s">
        <v>531</v>
      </c>
      <c r="M14" s="16">
        <v>43000</v>
      </c>
      <c r="N14" s="16">
        <v>0</v>
      </c>
      <c r="O14" s="16">
        <f t="shared" ref="O14" si="3">K14*M14</f>
        <v>11395000</v>
      </c>
      <c r="P14" s="14" t="s">
        <v>59</v>
      </c>
    </row>
    <row r="15" spans="1:16" x14ac:dyDescent="0.3">
      <c r="A15" s="8" t="s">
        <v>407</v>
      </c>
      <c r="B15" s="9" t="s">
        <v>441</v>
      </c>
      <c r="C15" s="10" t="s">
        <v>443</v>
      </c>
      <c r="D15" s="11">
        <v>43972</v>
      </c>
      <c r="E15" s="11">
        <v>43972</v>
      </c>
      <c r="F15" s="31">
        <v>1760000</v>
      </c>
      <c r="G15" s="32">
        <v>0</v>
      </c>
      <c r="H15" s="8" t="s">
        <v>442</v>
      </c>
      <c r="I15" s="12">
        <v>94409574</v>
      </c>
      <c r="J15" s="13" t="s">
        <v>443</v>
      </c>
      <c r="K15" s="14">
        <v>30</v>
      </c>
      <c r="L15" s="15" t="s">
        <v>531</v>
      </c>
      <c r="M15" s="16">
        <v>54000</v>
      </c>
      <c r="N15" s="16">
        <v>0</v>
      </c>
      <c r="O15" s="16">
        <f t="shared" ref="O15:O18" si="4">K15*(M15+N15)</f>
        <v>1620000</v>
      </c>
      <c r="P15" s="14" t="s">
        <v>444</v>
      </c>
    </row>
    <row r="16" spans="1:16" x14ac:dyDescent="0.3">
      <c r="A16" s="8" t="s">
        <v>544</v>
      </c>
      <c r="B16" s="9" t="s">
        <v>545</v>
      </c>
      <c r="C16" s="10" t="s">
        <v>546</v>
      </c>
      <c r="D16" s="11" t="s">
        <v>547</v>
      </c>
      <c r="E16" s="11" t="s">
        <v>547</v>
      </c>
      <c r="F16" s="31">
        <v>21078782</v>
      </c>
      <c r="G16" s="32">
        <v>0</v>
      </c>
      <c r="H16" s="8" t="s">
        <v>548</v>
      </c>
      <c r="I16" s="12">
        <v>900406714</v>
      </c>
      <c r="J16" s="13" t="s">
        <v>549</v>
      </c>
      <c r="K16" s="14">
        <v>12</v>
      </c>
      <c r="L16" s="15" t="s">
        <v>531</v>
      </c>
      <c r="M16" s="16">
        <v>18487</v>
      </c>
      <c r="N16" s="16">
        <f t="shared" ref="N16:N18" si="5">M16*0.19</f>
        <v>3512.53</v>
      </c>
      <c r="O16" s="16">
        <f t="shared" si="4"/>
        <v>263994.36</v>
      </c>
      <c r="P16" s="14" t="s">
        <v>59</v>
      </c>
    </row>
    <row r="17" spans="1:16" x14ac:dyDescent="0.3">
      <c r="A17" s="8" t="s">
        <v>544</v>
      </c>
      <c r="B17" s="9" t="s">
        <v>545</v>
      </c>
      <c r="C17" s="10" t="s">
        <v>546</v>
      </c>
      <c r="D17" s="11" t="s">
        <v>547</v>
      </c>
      <c r="E17" s="11" t="s">
        <v>547</v>
      </c>
      <c r="F17" s="31">
        <v>21078782</v>
      </c>
      <c r="G17" s="32">
        <v>0</v>
      </c>
      <c r="H17" s="8" t="s">
        <v>548</v>
      </c>
      <c r="I17" s="12">
        <v>900406714</v>
      </c>
      <c r="J17" s="13" t="s">
        <v>553</v>
      </c>
      <c r="K17" s="14">
        <v>5</v>
      </c>
      <c r="L17" s="15" t="s">
        <v>531</v>
      </c>
      <c r="M17" s="16">
        <v>18487</v>
      </c>
      <c r="N17" s="16">
        <f t="shared" si="5"/>
        <v>3512.53</v>
      </c>
      <c r="O17" s="16">
        <f t="shared" si="4"/>
        <v>109997.65</v>
      </c>
      <c r="P17" s="14" t="s">
        <v>59</v>
      </c>
    </row>
    <row r="18" spans="1:16" x14ac:dyDescent="0.3">
      <c r="A18" s="8" t="s">
        <v>544</v>
      </c>
      <c r="B18" s="9" t="s">
        <v>568</v>
      </c>
      <c r="C18" s="10" t="s">
        <v>564</v>
      </c>
      <c r="D18" s="11" t="s">
        <v>565</v>
      </c>
      <c r="E18" s="11" t="s">
        <v>565</v>
      </c>
      <c r="F18" s="31">
        <v>1081500</v>
      </c>
      <c r="G18" s="32">
        <v>0</v>
      </c>
      <c r="H18" s="8" t="s">
        <v>569</v>
      </c>
      <c r="I18" s="12">
        <v>15354493</v>
      </c>
      <c r="J18" s="13" t="s">
        <v>570</v>
      </c>
      <c r="K18" s="14">
        <f>4*10</f>
        <v>40</v>
      </c>
      <c r="L18" s="15" t="s">
        <v>531</v>
      </c>
      <c r="M18" s="16">
        <v>21260.504199999999</v>
      </c>
      <c r="N18" s="16">
        <f t="shared" si="5"/>
        <v>4039.4957979999999</v>
      </c>
      <c r="O18" s="16">
        <f t="shared" si="4"/>
        <v>1011999.99992</v>
      </c>
      <c r="P18" s="14" t="s">
        <v>59</v>
      </c>
    </row>
    <row r="19" spans="1:16" x14ac:dyDescent="0.3">
      <c r="A19" s="8" t="s">
        <v>544</v>
      </c>
      <c r="B19" s="9" t="s">
        <v>592</v>
      </c>
      <c r="C19" s="10" t="s">
        <v>593</v>
      </c>
      <c r="D19" s="11">
        <v>43986</v>
      </c>
      <c r="E19" s="11">
        <v>43986</v>
      </c>
      <c r="F19" s="31">
        <v>39927000</v>
      </c>
      <c r="G19" s="32">
        <v>0</v>
      </c>
      <c r="H19" s="8" t="s">
        <v>594</v>
      </c>
      <c r="I19" s="12">
        <v>901031972</v>
      </c>
      <c r="J19" s="13" t="s">
        <v>60</v>
      </c>
      <c r="K19" s="14">
        <v>80</v>
      </c>
      <c r="L19" s="15" t="s">
        <v>531</v>
      </c>
      <c r="M19" s="16">
        <v>45000</v>
      </c>
      <c r="N19" s="16">
        <v>0</v>
      </c>
      <c r="O19" s="16">
        <f>M19*K19</f>
        <v>3600000</v>
      </c>
      <c r="P19" s="14" t="s">
        <v>59</v>
      </c>
    </row>
    <row r="20" spans="1:16" x14ac:dyDescent="0.3">
      <c r="A20" s="8" t="s">
        <v>544</v>
      </c>
      <c r="B20" s="9" t="s">
        <v>612</v>
      </c>
      <c r="C20" s="10" t="s">
        <v>613</v>
      </c>
      <c r="D20" s="11">
        <v>43973</v>
      </c>
      <c r="E20" s="11">
        <v>43973</v>
      </c>
      <c r="F20" s="31">
        <v>28720000</v>
      </c>
      <c r="G20" s="32">
        <v>0</v>
      </c>
      <c r="H20" s="8" t="s">
        <v>614</v>
      </c>
      <c r="I20" s="12">
        <v>15354493</v>
      </c>
      <c r="J20" s="13" t="s">
        <v>615</v>
      </c>
      <c r="K20" s="14">
        <v>630</v>
      </c>
      <c r="L20" s="15" t="s">
        <v>531</v>
      </c>
      <c r="M20" s="16">
        <v>45000</v>
      </c>
      <c r="N20" s="16">
        <v>0</v>
      </c>
      <c r="O20" s="16">
        <f>K20*M20</f>
        <v>28350000</v>
      </c>
      <c r="P20" s="14" t="s">
        <v>59</v>
      </c>
    </row>
    <row r="21" spans="1:16" x14ac:dyDescent="0.3">
      <c r="A21" s="8" t="s">
        <v>544</v>
      </c>
      <c r="B21" s="9" t="s">
        <v>612</v>
      </c>
      <c r="C21" s="10" t="s">
        <v>613</v>
      </c>
      <c r="D21" s="11">
        <v>43973</v>
      </c>
      <c r="E21" s="11">
        <v>43973</v>
      </c>
      <c r="F21" s="31">
        <v>28720000</v>
      </c>
      <c r="G21" s="32">
        <v>0</v>
      </c>
      <c r="H21" s="8" t="s">
        <v>614</v>
      </c>
      <c r="I21" s="12">
        <v>15354493</v>
      </c>
      <c r="J21" s="13" t="s">
        <v>615</v>
      </c>
      <c r="K21" s="14">
        <v>4</v>
      </c>
      <c r="L21" s="15" t="s">
        <v>531</v>
      </c>
      <c r="M21" s="16">
        <v>25000</v>
      </c>
      <c r="N21" s="16">
        <v>0</v>
      </c>
      <c r="O21" s="16">
        <f t="shared" ref="O21" si="6">K21*(M21+N21)</f>
        <v>100000</v>
      </c>
      <c r="P21" s="14" t="s">
        <v>59</v>
      </c>
    </row>
    <row r="22" spans="1:16" x14ac:dyDescent="0.3">
      <c r="A22" s="8" t="s">
        <v>623</v>
      </c>
      <c r="B22" s="9" t="s">
        <v>624</v>
      </c>
      <c r="C22" s="10" t="s">
        <v>625</v>
      </c>
      <c r="D22" s="11">
        <v>43909</v>
      </c>
      <c r="E22" s="11">
        <v>43915</v>
      </c>
      <c r="F22" s="31">
        <v>92450981</v>
      </c>
      <c r="G22" s="32">
        <v>0</v>
      </c>
      <c r="H22" s="8" t="s">
        <v>626</v>
      </c>
      <c r="I22" s="12">
        <v>813005241</v>
      </c>
      <c r="J22" s="13" t="s">
        <v>628</v>
      </c>
      <c r="K22" s="14">
        <v>300</v>
      </c>
      <c r="L22" s="15" t="s">
        <v>531</v>
      </c>
      <c r="M22" s="16">
        <v>42017</v>
      </c>
      <c r="N22" s="16">
        <f t="shared" ref="N22:N23" si="7">M22*0.19</f>
        <v>7983.2300000000005</v>
      </c>
      <c r="O22" s="16">
        <f t="shared" ref="O22:O37" si="8">K22*(M22+N22)</f>
        <v>15000069.000000002</v>
      </c>
      <c r="P22" s="14" t="s">
        <v>59</v>
      </c>
    </row>
    <row r="23" spans="1:16" x14ac:dyDescent="0.3">
      <c r="A23" s="8" t="s">
        <v>623</v>
      </c>
      <c r="B23" s="9" t="s">
        <v>624</v>
      </c>
      <c r="C23" s="10" t="s">
        <v>625</v>
      </c>
      <c r="D23" s="11">
        <v>43909</v>
      </c>
      <c r="E23" s="11">
        <v>43915</v>
      </c>
      <c r="F23" s="31">
        <v>92450981</v>
      </c>
      <c r="G23" s="32">
        <v>0</v>
      </c>
      <c r="H23" s="8" t="s">
        <v>626</v>
      </c>
      <c r="I23" s="12">
        <v>813005241</v>
      </c>
      <c r="J23" s="13" t="s">
        <v>629</v>
      </c>
      <c r="K23" s="14">
        <v>300</v>
      </c>
      <c r="L23" s="15" t="s">
        <v>531</v>
      </c>
      <c r="M23" s="16">
        <v>42017</v>
      </c>
      <c r="N23" s="16">
        <f t="shared" si="7"/>
        <v>7983.2300000000005</v>
      </c>
      <c r="O23" s="16">
        <f t="shared" si="8"/>
        <v>15000069.000000002</v>
      </c>
      <c r="P23" s="14" t="s">
        <v>59</v>
      </c>
    </row>
    <row r="24" spans="1:16" x14ac:dyDescent="0.3">
      <c r="A24" s="8" t="s">
        <v>623</v>
      </c>
      <c r="B24" s="9" t="s">
        <v>644</v>
      </c>
      <c r="C24" s="10" t="s">
        <v>645</v>
      </c>
      <c r="D24" s="11">
        <v>43971</v>
      </c>
      <c r="E24" s="11">
        <v>43978</v>
      </c>
      <c r="F24" s="31">
        <v>38340000</v>
      </c>
      <c r="G24" s="32">
        <v>0</v>
      </c>
      <c r="H24" s="8" t="s">
        <v>626</v>
      </c>
      <c r="I24" s="12">
        <v>813005241</v>
      </c>
      <c r="J24" s="13" t="s">
        <v>646</v>
      </c>
      <c r="K24" s="14">
        <v>99</v>
      </c>
      <c r="L24" s="15" t="s">
        <v>531</v>
      </c>
      <c r="M24" s="16">
        <v>40000</v>
      </c>
      <c r="N24" s="16">
        <v>0</v>
      </c>
      <c r="O24" s="16">
        <f t="shared" si="8"/>
        <v>3960000</v>
      </c>
      <c r="P24" s="14" t="s">
        <v>59</v>
      </c>
    </row>
    <row r="25" spans="1:16" x14ac:dyDescent="0.3">
      <c r="A25" s="8" t="s">
        <v>623</v>
      </c>
      <c r="B25" s="9" t="s">
        <v>674</v>
      </c>
      <c r="C25" s="10" t="s">
        <v>661</v>
      </c>
      <c r="D25" s="11">
        <v>43979</v>
      </c>
      <c r="E25" s="11">
        <v>43979</v>
      </c>
      <c r="F25" s="31">
        <v>79458450</v>
      </c>
      <c r="G25" s="32">
        <v>0</v>
      </c>
      <c r="H25" s="8" t="s">
        <v>675</v>
      </c>
      <c r="I25" s="12">
        <v>813005241</v>
      </c>
      <c r="J25" s="13" t="s">
        <v>676</v>
      </c>
      <c r="K25" s="14">
        <v>1791</v>
      </c>
      <c r="L25" s="15" t="s">
        <v>531</v>
      </c>
      <c r="M25" s="16">
        <v>40000</v>
      </c>
      <c r="N25" s="16">
        <v>0</v>
      </c>
      <c r="O25" s="16">
        <f t="shared" si="8"/>
        <v>71640000</v>
      </c>
      <c r="P25" s="14" t="s">
        <v>59</v>
      </c>
    </row>
    <row r="26" spans="1:16" x14ac:dyDescent="0.3">
      <c r="A26" s="8" t="s">
        <v>693</v>
      </c>
      <c r="B26" s="9" t="s">
        <v>711</v>
      </c>
      <c r="C26" s="10" t="s">
        <v>712</v>
      </c>
      <c r="D26" s="11">
        <v>43965</v>
      </c>
      <c r="E26" s="11">
        <v>43965</v>
      </c>
      <c r="F26" s="31">
        <v>4840000</v>
      </c>
      <c r="G26" s="32">
        <v>0</v>
      </c>
      <c r="H26" s="8" t="s">
        <v>713</v>
      </c>
      <c r="I26" s="12">
        <v>900175023</v>
      </c>
      <c r="J26" s="13" t="s">
        <v>59</v>
      </c>
      <c r="K26" s="14">
        <v>100</v>
      </c>
      <c r="L26" s="15" t="s">
        <v>531</v>
      </c>
      <c r="M26" s="16">
        <f>24200*2</f>
        <v>48400</v>
      </c>
      <c r="N26" s="16">
        <v>0</v>
      </c>
      <c r="O26" s="16">
        <f t="shared" si="8"/>
        <v>4840000</v>
      </c>
      <c r="P26" s="14" t="s">
        <v>59</v>
      </c>
    </row>
    <row r="27" spans="1:16" x14ac:dyDescent="0.3">
      <c r="A27" s="8" t="s">
        <v>693</v>
      </c>
      <c r="B27" s="9" t="s">
        <v>726</v>
      </c>
      <c r="C27" s="10" t="s">
        <v>727</v>
      </c>
      <c r="D27" s="11">
        <v>44009</v>
      </c>
      <c r="E27" s="11">
        <v>44009</v>
      </c>
      <c r="F27" s="31">
        <v>70590000</v>
      </c>
      <c r="G27" s="32">
        <v>0</v>
      </c>
      <c r="H27" s="8" t="s">
        <v>224</v>
      </c>
      <c r="I27" s="12">
        <v>900300970</v>
      </c>
      <c r="J27" s="13" t="s">
        <v>59</v>
      </c>
      <c r="K27" s="14">
        <v>1500</v>
      </c>
      <c r="L27" s="15" t="s">
        <v>531</v>
      </c>
      <c r="M27" s="16">
        <v>47060</v>
      </c>
      <c r="N27" s="16">
        <v>0</v>
      </c>
      <c r="O27" s="16">
        <f t="shared" si="8"/>
        <v>70590000</v>
      </c>
      <c r="P27" s="14" t="s">
        <v>59</v>
      </c>
    </row>
    <row r="28" spans="1:16" x14ac:dyDescent="0.3">
      <c r="A28" s="8" t="s">
        <v>728</v>
      </c>
      <c r="B28" s="9" t="s">
        <v>749</v>
      </c>
      <c r="C28" s="10" t="s">
        <v>747</v>
      </c>
      <c r="D28" s="11">
        <v>43949</v>
      </c>
      <c r="E28" s="11">
        <v>43949</v>
      </c>
      <c r="F28" s="31">
        <v>1055276.3999999999</v>
      </c>
      <c r="G28" s="32">
        <v>0</v>
      </c>
      <c r="H28" s="8" t="s">
        <v>748</v>
      </c>
      <c r="I28" s="12">
        <v>900225460</v>
      </c>
      <c r="J28" s="13" t="s">
        <v>59</v>
      </c>
      <c r="K28" s="14">
        <v>15</v>
      </c>
      <c r="L28" s="15" t="s">
        <v>531</v>
      </c>
      <c r="M28" s="16">
        <f>35175.88*2</f>
        <v>70351.759999999995</v>
      </c>
      <c r="N28" s="16">
        <v>0</v>
      </c>
      <c r="O28" s="16">
        <f t="shared" si="8"/>
        <v>1055276.3999999999</v>
      </c>
      <c r="P28" s="14" t="s">
        <v>59</v>
      </c>
    </row>
    <row r="29" spans="1:16" x14ac:dyDescent="0.3">
      <c r="A29" s="8" t="s">
        <v>1231</v>
      </c>
      <c r="B29" s="9" t="s">
        <v>1232</v>
      </c>
      <c r="C29" s="17" t="s">
        <v>1233</v>
      </c>
      <c r="D29" s="11">
        <v>43915</v>
      </c>
      <c r="E29" s="11">
        <v>43916</v>
      </c>
      <c r="F29" s="31">
        <v>79231499</v>
      </c>
      <c r="G29" s="32">
        <v>0</v>
      </c>
      <c r="H29" s="8" t="s">
        <v>1234</v>
      </c>
      <c r="I29" s="12">
        <v>900916649</v>
      </c>
      <c r="J29" s="13" t="s">
        <v>351</v>
      </c>
      <c r="K29" s="14">
        <v>150</v>
      </c>
      <c r="L29" s="18" t="s">
        <v>531</v>
      </c>
      <c r="M29" s="16">
        <v>35000</v>
      </c>
      <c r="N29" s="16">
        <v>0</v>
      </c>
      <c r="O29" s="16">
        <f t="shared" si="8"/>
        <v>5250000</v>
      </c>
      <c r="P29" s="19" t="s">
        <v>59</v>
      </c>
    </row>
    <row r="30" spans="1:16" x14ac:dyDescent="0.3">
      <c r="A30" s="8" t="s">
        <v>885</v>
      </c>
      <c r="B30" s="9">
        <v>48800</v>
      </c>
      <c r="C30" s="17" t="s">
        <v>947</v>
      </c>
      <c r="D30" s="11">
        <v>43971</v>
      </c>
      <c r="E30" s="11">
        <v>43971</v>
      </c>
      <c r="F30" s="31">
        <v>11737650</v>
      </c>
      <c r="G30" s="32">
        <v>0</v>
      </c>
      <c r="H30" s="8" t="s">
        <v>948</v>
      </c>
      <c r="I30" s="12">
        <v>900350133</v>
      </c>
      <c r="J30" s="13" t="s">
        <v>59</v>
      </c>
      <c r="K30" s="14">
        <v>199</v>
      </c>
      <c r="L30" s="18" t="s">
        <v>531</v>
      </c>
      <c r="M30" s="16">
        <v>58983.165829145699</v>
      </c>
      <c r="N30" s="16">
        <v>0</v>
      </c>
      <c r="O30" s="16">
        <f t="shared" si="8"/>
        <v>11737649.999999994</v>
      </c>
      <c r="P30" s="19" t="s">
        <v>59</v>
      </c>
    </row>
    <row r="31" spans="1:16" x14ac:dyDescent="0.3">
      <c r="A31" s="8" t="s">
        <v>959</v>
      </c>
      <c r="B31" s="9">
        <v>35</v>
      </c>
      <c r="C31" s="10" t="s">
        <v>960</v>
      </c>
      <c r="D31" s="11">
        <v>43477</v>
      </c>
      <c r="E31" s="11">
        <v>43800</v>
      </c>
      <c r="F31" s="31">
        <v>0</v>
      </c>
      <c r="G31" s="32">
        <v>67434392</v>
      </c>
      <c r="H31" s="8" t="s">
        <v>961</v>
      </c>
      <c r="I31" s="12">
        <v>811044253</v>
      </c>
      <c r="J31" s="13" t="s">
        <v>962</v>
      </c>
      <c r="K31" s="14">
        <v>233</v>
      </c>
      <c r="L31" s="18" t="s">
        <v>531</v>
      </c>
      <c r="M31" s="16">
        <v>53200</v>
      </c>
      <c r="N31" s="16">
        <v>0</v>
      </c>
      <c r="O31" s="16">
        <f t="shared" si="8"/>
        <v>12395600</v>
      </c>
      <c r="P31" s="14" t="s">
        <v>59</v>
      </c>
    </row>
    <row r="32" spans="1:16" x14ac:dyDescent="0.3">
      <c r="A32" s="8" t="s">
        <v>976</v>
      </c>
      <c r="B32" s="9" t="s">
        <v>987</v>
      </c>
      <c r="C32" s="10" t="s">
        <v>978</v>
      </c>
      <c r="D32" s="11">
        <v>43937</v>
      </c>
      <c r="E32" s="11">
        <v>43937</v>
      </c>
      <c r="F32" s="31">
        <v>36963400</v>
      </c>
      <c r="G32" s="32">
        <v>0</v>
      </c>
      <c r="H32" s="8" t="s">
        <v>988</v>
      </c>
      <c r="I32" s="12">
        <v>901008660</v>
      </c>
      <c r="J32" s="13" t="s">
        <v>1249</v>
      </c>
      <c r="K32" s="14">
        <v>200</v>
      </c>
      <c r="L32" s="18" t="s">
        <v>531</v>
      </c>
      <c r="M32" s="16">
        <v>37815</v>
      </c>
      <c r="N32" s="16">
        <v>0</v>
      </c>
      <c r="O32" s="16">
        <f t="shared" si="8"/>
        <v>7563000</v>
      </c>
      <c r="P32" s="14" t="s">
        <v>59</v>
      </c>
    </row>
    <row r="33" spans="1:16" x14ac:dyDescent="0.3">
      <c r="A33" s="8" t="s">
        <v>976</v>
      </c>
      <c r="B33" s="9" t="s">
        <v>1050</v>
      </c>
      <c r="C33" s="10" t="s">
        <v>1051</v>
      </c>
      <c r="D33" s="11">
        <v>44008</v>
      </c>
      <c r="E33" s="11">
        <v>44008</v>
      </c>
      <c r="F33" s="31">
        <v>5828191.8300000001</v>
      </c>
      <c r="G33" s="32">
        <v>0</v>
      </c>
      <c r="H33" s="8" t="s">
        <v>224</v>
      </c>
      <c r="I33" s="12">
        <v>900300970</v>
      </c>
      <c r="J33" s="13" t="s">
        <v>444</v>
      </c>
      <c r="K33" s="14">
        <v>115</v>
      </c>
      <c r="L33" s="18" t="s">
        <v>531</v>
      </c>
      <c r="M33" s="16">
        <v>49893.62</v>
      </c>
      <c r="N33" s="16">
        <v>0</v>
      </c>
      <c r="O33" s="16">
        <f t="shared" si="8"/>
        <v>5737766.3000000007</v>
      </c>
      <c r="P33" s="14" t="s">
        <v>59</v>
      </c>
    </row>
    <row r="34" spans="1:16" x14ac:dyDescent="0.3">
      <c r="A34" s="8" t="s">
        <v>976</v>
      </c>
      <c r="B34" s="9" t="s">
        <v>1258</v>
      </c>
      <c r="C34" s="10" t="s">
        <v>1259</v>
      </c>
      <c r="D34" s="11">
        <v>43770</v>
      </c>
      <c r="E34" s="11">
        <v>43936</v>
      </c>
      <c r="F34" s="31">
        <v>0</v>
      </c>
      <c r="G34" s="32">
        <v>31068000</v>
      </c>
      <c r="H34" s="8" t="s">
        <v>1260</v>
      </c>
      <c r="I34" s="12">
        <v>812000152</v>
      </c>
      <c r="J34" s="13" t="s">
        <v>444</v>
      </c>
      <c r="K34" s="14">
        <f>30/2</f>
        <v>15</v>
      </c>
      <c r="L34" s="18" t="s">
        <v>531</v>
      </c>
      <c r="M34" s="16">
        <f>22000*2</f>
        <v>44000</v>
      </c>
      <c r="N34" s="16">
        <v>0</v>
      </c>
      <c r="O34" s="16">
        <f t="shared" si="8"/>
        <v>660000</v>
      </c>
      <c r="P34" s="14" t="s">
        <v>59</v>
      </c>
    </row>
    <row r="35" spans="1:16" x14ac:dyDescent="0.3">
      <c r="A35" s="8" t="s">
        <v>1055</v>
      </c>
      <c r="B35" s="9" t="s">
        <v>1081</v>
      </c>
      <c r="C35" s="10" t="s">
        <v>1082</v>
      </c>
      <c r="D35" s="11">
        <v>43985</v>
      </c>
      <c r="E35" s="11">
        <v>43985</v>
      </c>
      <c r="F35" s="31">
        <v>7742500</v>
      </c>
      <c r="G35" s="32">
        <v>0</v>
      </c>
      <c r="H35" s="8" t="s">
        <v>1083</v>
      </c>
      <c r="I35" s="12">
        <v>1057514074</v>
      </c>
      <c r="J35" s="13" t="s">
        <v>1084</v>
      </c>
      <c r="K35" s="14">
        <v>163</v>
      </c>
      <c r="L35" s="15" t="s">
        <v>531</v>
      </c>
      <c r="M35" s="16">
        <v>47500</v>
      </c>
      <c r="N35" s="16">
        <v>0</v>
      </c>
      <c r="O35" s="16">
        <f t="shared" si="8"/>
        <v>7742500</v>
      </c>
      <c r="P35" s="14" t="s">
        <v>59</v>
      </c>
    </row>
    <row r="36" spans="1:16" x14ac:dyDescent="0.3">
      <c r="A36" s="8" t="s">
        <v>1161</v>
      </c>
      <c r="B36" s="9" t="s">
        <v>1182</v>
      </c>
      <c r="C36" s="10" t="s">
        <v>1183</v>
      </c>
      <c r="D36" s="11">
        <v>43971</v>
      </c>
      <c r="E36" s="11">
        <v>43971</v>
      </c>
      <c r="F36" s="31">
        <v>3036300</v>
      </c>
      <c r="G36" s="32">
        <v>0</v>
      </c>
      <c r="H36" s="8" t="s">
        <v>1184</v>
      </c>
      <c r="I36" s="12">
        <v>900350133</v>
      </c>
      <c r="J36" s="13" t="s">
        <v>1185</v>
      </c>
      <c r="K36" s="14">
        <v>58</v>
      </c>
      <c r="L36" s="15" t="s">
        <v>531</v>
      </c>
      <c r="M36" s="16">
        <v>52350</v>
      </c>
      <c r="N36" s="16">
        <v>0</v>
      </c>
      <c r="O36" s="16">
        <f t="shared" si="8"/>
        <v>3036300</v>
      </c>
      <c r="P36" s="14" t="s">
        <v>59</v>
      </c>
    </row>
    <row r="37" spans="1:16" x14ac:dyDescent="0.3">
      <c r="A37" s="8" t="s">
        <v>1161</v>
      </c>
      <c r="B37" s="9" t="s">
        <v>1211</v>
      </c>
      <c r="C37" s="10" t="s">
        <v>1206</v>
      </c>
      <c r="D37" s="11">
        <v>44008</v>
      </c>
      <c r="E37" s="11">
        <v>44008</v>
      </c>
      <c r="F37" s="31">
        <v>2844000</v>
      </c>
      <c r="G37" s="32">
        <v>0</v>
      </c>
      <c r="H37" s="8" t="s">
        <v>224</v>
      </c>
      <c r="I37" s="12">
        <v>900300970</v>
      </c>
      <c r="J37" s="13" t="s">
        <v>59</v>
      </c>
      <c r="K37" s="14">
        <v>60</v>
      </c>
      <c r="L37" s="15" t="s">
        <v>531</v>
      </c>
      <c r="M37" s="16">
        <v>46900</v>
      </c>
      <c r="N37" s="16">
        <v>0</v>
      </c>
      <c r="O37" s="16">
        <f t="shared" si="8"/>
        <v>2814000</v>
      </c>
      <c r="P37" s="14" t="s">
        <v>59</v>
      </c>
    </row>
  </sheetData>
  <dataValidations count="14">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3:B3 D3:I3 E6:E8 E11 E16:E17 E19 E24 E3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 H6:H9 H11:H13 H16:H17 H20:H24 H29 H32 H35:H3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 I8 I10:I11">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6 A8 A11:A17 A20:A23 A29 A32 A3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 F6 F8 F11 F16:F17 F19 F24 F29 F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6 B8:B9 B11:B13 B16:B20 B22:B24 B29 B32">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6 I16:I17 I21 I24 I29 I32 I35:I37">
      <formula1>-999999999</formula1>
      <formula2>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6:D8 D11 D16:D19 D24 D29:E30 D3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9:A10 A3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9 F12 F21:F23 F35:F3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9:E9 E10 D12:E13 D15:E15 D20:E23 D25:E28 D31:E31 D35:E3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4:G16 G29 G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1 B36:B37">
      <formula1>0</formula1>
      <formula2>390</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O3" sqref="O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17</v>
      </c>
      <c r="C2" s="10" t="s">
        <v>18</v>
      </c>
      <c r="D2" s="11">
        <v>43910</v>
      </c>
      <c r="E2" s="11">
        <v>43910</v>
      </c>
      <c r="F2" s="31">
        <v>2573970</v>
      </c>
      <c r="G2" s="32">
        <v>0</v>
      </c>
      <c r="H2" s="8" t="s">
        <v>19</v>
      </c>
      <c r="I2" s="12">
        <v>901095058</v>
      </c>
      <c r="J2" s="13" t="s">
        <v>22</v>
      </c>
      <c r="K2" s="14">
        <v>12</v>
      </c>
      <c r="L2" s="21" t="s">
        <v>1250</v>
      </c>
      <c r="M2" s="16">
        <v>6500</v>
      </c>
      <c r="N2" s="16">
        <f t="shared" ref="N2" si="0">M2*0.19</f>
        <v>1235</v>
      </c>
      <c r="O2" s="16">
        <f t="shared" ref="O2:O3" si="1">K2*(M2+N2)</f>
        <v>92820</v>
      </c>
      <c r="P2" s="19" t="s">
        <v>1389</v>
      </c>
    </row>
    <row r="3" spans="1:16" x14ac:dyDescent="0.3">
      <c r="A3" s="8" t="s">
        <v>1231</v>
      </c>
      <c r="B3" s="9" t="s">
        <v>1232</v>
      </c>
      <c r="C3" s="17" t="s">
        <v>1233</v>
      </c>
      <c r="D3" s="11">
        <v>43915</v>
      </c>
      <c r="E3" s="11">
        <v>43916</v>
      </c>
      <c r="F3" s="31">
        <v>79231499</v>
      </c>
      <c r="G3" s="32">
        <v>0</v>
      </c>
      <c r="H3" s="8" t="s">
        <v>1234</v>
      </c>
      <c r="I3" s="12">
        <v>900916649</v>
      </c>
      <c r="J3" s="13" t="s">
        <v>1239</v>
      </c>
      <c r="K3" s="14">
        <v>100</v>
      </c>
      <c r="L3" s="15" t="s">
        <v>1250</v>
      </c>
      <c r="M3" s="16">
        <v>11250</v>
      </c>
      <c r="N3" s="16">
        <f>M3*0.19</f>
        <v>2137.5</v>
      </c>
      <c r="O3" s="16">
        <f t="shared" si="1"/>
        <v>1338750</v>
      </c>
      <c r="P3" s="19" t="s">
        <v>1389</v>
      </c>
    </row>
  </sheetData>
  <dataValidations count="2">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1" workbookViewId="0">
      <selection activeCell="O4" sqref="O4"/>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490</v>
      </c>
      <c r="B2" s="9" t="s">
        <v>508</v>
      </c>
      <c r="C2" s="10" t="s">
        <v>509</v>
      </c>
      <c r="D2" s="11">
        <v>43994</v>
      </c>
      <c r="E2" s="11">
        <v>43998</v>
      </c>
      <c r="F2" s="31">
        <v>24617210</v>
      </c>
      <c r="G2" s="32">
        <v>0</v>
      </c>
      <c r="H2" s="8" t="s">
        <v>510</v>
      </c>
      <c r="I2" s="12">
        <v>811036638</v>
      </c>
      <c r="J2" s="13" t="s">
        <v>522</v>
      </c>
      <c r="K2" s="14">
        <v>3</v>
      </c>
      <c r="L2" s="15" t="s">
        <v>1288</v>
      </c>
      <c r="M2" s="16">
        <v>245000</v>
      </c>
      <c r="N2" s="16">
        <f t="shared" ref="N2:N4" si="0">M2*0.19</f>
        <v>46550</v>
      </c>
      <c r="O2" s="16">
        <f t="shared" ref="O2:O4" si="1">K2*(M2+N2)</f>
        <v>874650</v>
      </c>
      <c r="P2" s="14" t="s">
        <v>523</v>
      </c>
    </row>
    <row r="3" spans="1:16" x14ac:dyDescent="0.3">
      <c r="A3" s="8" t="s">
        <v>490</v>
      </c>
      <c r="B3" s="9" t="s">
        <v>508</v>
      </c>
      <c r="C3" s="10" t="s">
        <v>509</v>
      </c>
      <c r="D3" s="11">
        <v>43994</v>
      </c>
      <c r="E3" s="11">
        <v>43998</v>
      </c>
      <c r="F3" s="31">
        <v>24617210</v>
      </c>
      <c r="G3" s="32">
        <v>0</v>
      </c>
      <c r="H3" s="8" t="s">
        <v>510</v>
      </c>
      <c r="I3" s="12">
        <v>811036638</v>
      </c>
      <c r="J3" s="13" t="s">
        <v>524</v>
      </c>
      <c r="K3" s="14">
        <v>7</v>
      </c>
      <c r="L3" s="15" t="s">
        <v>1288</v>
      </c>
      <c r="M3" s="16">
        <v>220000</v>
      </c>
      <c r="N3" s="16">
        <f t="shared" si="0"/>
        <v>41800</v>
      </c>
      <c r="O3" s="16">
        <f t="shared" si="1"/>
        <v>1832600</v>
      </c>
      <c r="P3" s="14" t="s">
        <v>523</v>
      </c>
    </row>
    <row r="4" spans="1:16" x14ac:dyDescent="0.3">
      <c r="A4" s="8" t="s">
        <v>490</v>
      </c>
      <c r="B4" s="9" t="s">
        <v>508</v>
      </c>
      <c r="C4" s="10" t="s">
        <v>509</v>
      </c>
      <c r="D4" s="11">
        <v>43994</v>
      </c>
      <c r="E4" s="11">
        <v>43998</v>
      </c>
      <c r="F4" s="31">
        <v>24617210</v>
      </c>
      <c r="G4" s="32">
        <v>0</v>
      </c>
      <c r="H4" s="8" t="s">
        <v>510</v>
      </c>
      <c r="I4" s="12">
        <v>811036638</v>
      </c>
      <c r="J4" s="13" t="s">
        <v>525</v>
      </c>
      <c r="K4" s="14">
        <v>1</v>
      </c>
      <c r="L4" s="15" t="s">
        <v>1288</v>
      </c>
      <c r="M4" s="16">
        <v>332000</v>
      </c>
      <c r="N4" s="16">
        <f t="shared" si="0"/>
        <v>63080</v>
      </c>
      <c r="O4" s="16">
        <f t="shared" si="1"/>
        <v>395080</v>
      </c>
      <c r="P4" s="14" t="s">
        <v>523</v>
      </c>
    </row>
  </sheetData>
  <dataValidations count="4">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2:E4">
      <formula1>1900/1/1</formula1>
      <formula2>3000/1/1</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728</v>
      </c>
      <c r="B2" s="9">
        <v>1619602</v>
      </c>
      <c r="C2" s="10" t="s">
        <v>768</v>
      </c>
      <c r="D2" s="11">
        <v>43990</v>
      </c>
      <c r="E2" s="11">
        <v>43992</v>
      </c>
      <c r="F2" s="31">
        <v>57691400</v>
      </c>
      <c r="G2" s="32">
        <v>0</v>
      </c>
      <c r="H2" s="8" t="s">
        <v>769</v>
      </c>
      <c r="I2" s="12">
        <v>830014921</v>
      </c>
      <c r="J2" s="13" t="s">
        <v>773</v>
      </c>
      <c r="K2" s="14">
        <v>10</v>
      </c>
      <c r="L2" s="15" t="s">
        <v>250</v>
      </c>
      <c r="M2" s="16">
        <v>1628000</v>
      </c>
      <c r="N2" s="16">
        <v>0</v>
      </c>
      <c r="O2" s="16">
        <f t="shared" ref="O2" si="0">K2*(M2+N2)</f>
        <v>16280000</v>
      </c>
      <c r="P2" s="14" t="s">
        <v>1286</v>
      </c>
    </row>
  </sheetData>
  <dataValidations count="1">
    <dataValidation type="date" allowBlank="1" showInputMessage="1" errorTitle="Entrada no válida" error="Por favor escriba una fecha válida (AAAA/MM/DD)" promptTitle="Ingrese una fecha (AAAA/MM/DD)" prompt=" Registre la fecha en la cual se SUSCRIBIÓ la orden (Formato AAAA/MM/DD)." sqref="D2:E2">
      <formula1>1900/1/1</formula1>
      <formula2>3000/1/1</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sqref="A1:P34"/>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30</v>
      </c>
      <c r="C2" s="10" t="s">
        <v>31</v>
      </c>
      <c r="D2" s="11">
        <v>43923</v>
      </c>
      <c r="E2" s="11">
        <v>43928</v>
      </c>
      <c r="F2" s="31">
        <v>11804524</v>
      </c>
      <c r="G2" s="32">
        <v>0</v>
      </c>
      <c r="H2" s="8" t="s">
        <v>32</v>
      </c>
      <c r="I2" s="12">
        <v>900742771</v>
      </c>
      <c r="J2" s="13" t="s">
        <v>35</v>
      </c>
      <c r="K2" s="14">
        <v>108</v>
      </c>
      <c r="L2" s="15" t="s">
        <v>172</v>
      </c>
      <c r="M2" s="16">
        <v>8846</v>
      </c>
      <c r="N2" s="16">
        <f t="shared" ref="N2:N3" si="0">M2*0.19</f>
        <v>1680.74</v>
      </c>
      <c r="O2" s="16">
        <f t="shared" ref="O2:O34" si="1">K2*(M2+N2)</f>
        <v>1136887.92</v>
      </c>
      <c r="P2" s="14" t="s">
        <v>36</v>
      </c>
    </row>
    <row r="3" spans="1:16" x14ac:dyDescent="0.3">
      <c r="A3" s="8" t="s">
        <v>1289</v>
      </c>
      <c r="B3" s="9" t="s">
        <v>1290</v>
      </c>
      <c r="C3" s="17" t="s">
        <v>1291</v>
      </c>
      <c r="D3" s="11">
        <v>43908</v>
      </c>
      <c r="E3" s="11">
        <v>43908</v>
      </c>
      <c r="F3" s="31">
        <v>7176804</v>
      </c>
      <c r="G3" s="32">
        <v>0</v>
      </c>
      <c r="H3" s="8" t="s">
        <v>1292</v>
      </c>
      <c r="I3" s="12">
        <v>800031358</v>
      </c>
      <c r="J3" s="13" t="s">
        <v>1474</v>
      </c>
      <c r="K3" s="14">
        <f>17*3.8</f>
        <v>64.599999999999994</v>
      </c>
      <c r="L3" s="18" t="s">
        <v>172</v>
      </c>
      <c r="M3" s="16">
        <f>24917/3.8</f>
        <v>6557.105263157895</v>
      </c>
      <c r="N3" s="16">
        <f t="shared" si="0"/>
        <v>1245.8500000000001</v>
      </c>
      <c r="O3" s="16">
        <f t="shared" si="1"/>
        <v>504070.91</v>
      </c>
      <c r="P3" s="19" t="s">
        <v>36</v>
      </c>
    </row>
    <row r="4" spans="1:16" x14ac:dyDescent="0.3">
      <c r="A4" s="8" t="s">
        <v>1289</v>
      </c>
      <c r="B4" s="9" t="s">
        <v>116</v>
      </c>
      <c r="C4" s="17" t="s">
        <v>1306</v>
      </c>
      <c r="D4" s="11">
        <v>43969</v>
      </c>
      <c r="E4" s="11">
        <v>43969</v>
      </c>
      <c r="F4" s="31">
        <v>5600000</v>
      </c>
      <c r="G4" s="32">
        <v>0</v>
      </c>
      <c r="H4" s="8" t="s">
        <v>1307</v>
      </c>
      <c r="I4" s="12">
        <v>830037946</v>
      </c>
      <c r="J4" s="13" t="s">
        <v>1473</v>
      </c>
      <c r="K4" s="14">
        <f>1000/2</f>
        <v>500</v>
      </c>
      <c r="L4" s="18" t="s">
        <v>172</v>
      </c>
      <c r="M4" s="16">
        <f>5600*2</f>
        <v>11200</v>
      </c>
      <c r="N4" s="16">
        <v>0</v>
      </c>
      <c r="O4" s="16">
        <f t="shared" si="1"/>
        <v>5600000</v>
      </c>
      <c r="P4" s="19" t="s">
        <v>36</v>
      </c>
    </row>
    <row r="5" spans="1:16" x14ac:dyDescent="0.3">
      <c r="A5" s="8" t="s">
        <v>153</v>
      </c>
      <c r="B5" s="9" t="s">
        <v>169</v>
      </c>
      <c r="C5" s="10" t="s">
        <v>170</v>
      </c>
      <c r="D5" s="11">
        <v>43910</v>
      </c>
      <c r="E5" s="11">
        <v>43910</v>
      </c>
      <c r="F5" s="31">
        <v>33831700</v>
      </c>
      <c r="G5" s="32">
        <v>0</v>
      </c>
      <c r="H5" s="8" t="s">
        <v>171</v>
      </c>
      <c r="I5" s="12">
        <v>830037946</v>
      </c>
      <c r="J5" s="13" t="s">
        <v>1475</v>
      </c>
      <c r="K5" s="14">
        <f>1500*3.8</f>
        <v>5700</v>
      </c>
      <c r="L5" s="15" t="s">
        <v>172</v>
      </c>
      <c r="M5" s="16">
        <f>19992/3.8</f>
        <v>5261.0526315789475</v>
      </c>
      <c r="N5" s="16">
        <v>0</v>
      </c>
      <c r="O5" s="16">
        <f t="shared" si="1"/>
        <v>29988000</v>
      </c>
      <c r="P5" s="14" t="s">
        <v>36</v>
      </c>
    </row>
    <row r="6" spans="1:16" x14ac:dyDescent="0.3">
      <c r="A6" s="8" t="s">
        <v>153</v>
      </c>
      <c r="B6" s="9" t="s">
        <v>169</v>
      </c>
      <c r="C6" s="10" t="s">
        <v>170</v>
      </c>
      <c r="D6" s="11">
        <v>43910</v>
      </c>
      <c r="E6" s="11">
        <v>43910</v>
      </c>
      <c r="F6" s="31">
        <v>33831700</v>
      </c>
      <c r="G6" s="32">
        <v>0</v>
      </c>
      <c r="H6" s="8" t="s">
        <v>171</v>
      </c>
      <c r="I6" s="12">
        <v>830037946</v>
      </c>
      <c r="J6" s="13" t="s">
        <v>1476</v>
      </c>
      <c r="K6" s="14">
        <v>50</v>
      </c>
      <c r="L6" s="15" t="s">
        <v>172</v>
      </c>
      <c r="M6" s="16">
        <f>5117*2</f>
        <v>10234</v>
      </c>
      <c r="N6" s="16">
        <v>0</v>
      </c>
      <c r="O6" s="16">
        <f t="shared" si="1"/>
        <v>511700</v>
      </c>
      <c r="P6" s="14" t="s">
        <v>36</v>
      </c>
    </row>
    <row r="7" spans="1:16" x14ac:dyDescent="0.3">
      <c r="A7" s="8" t="s">
        <v>252</v>
      </c>
      <c r="B7" s="9" t="s">
        <v>253</v>
      </c>
      <c r="C7" s="10" t="s">
        <v>254</v>
      </c>
      <c r="D7" s="11">
        <v>43900</v>
      </c>
      <c r="E7" s="11">
        <v>43900</v>
      </c>
      <c r="F7" s="31">
        <v>48156480</v>
      </c>
      <c r="G7" s="32">
        <v>0</v>
      </c>
      <c r="H7" s="8" t="s">
        <v>255</v>
      </c>
      <c r="I7" s="12">
        <v>830037946</v>
      </c>
      <c r="J7" s="13" t="s">
        <v>1477</v>
      </c>
      <c r="K7" s="14">
        <v>1944</v>
      </c>
      <c r="L7" s="15" t="s">
        <v>172</v>
      </c>
      <c r="M7" s="16">
        <v>2794</v>
      </c>
      <c r="N7" s="16">
        <v>526</v>
      </c>
      <c r="O7" s="16">
        <f t="shared" si="1"/>
        <v>6454080</v>
      </c>
      <c r="P7" s="14" t="s">
        <v>36</v>
      </c>
    </row>
    <row r="8" spans="1:16" x14ac:dyDescent="0.3">
      <c r="A8" s="8" t="s">
        <v>252</v>
      </c>
      <c r="B8" s="9" t="s">
        <v>276</v>
      </c>
      <c r="C8" s="10" t="s">
        <v>277</v>
      </c>
      <c r="D8" s="11">
        <v>43969</v>
      </c>
      <c r="E8" s="11">
        <v>43969</v>
      </c>
      <c r="F8" s="31">
        <v>15800400</v>
      </c>
      <c r="G8" s="32">
        <v>0</v>
      </c>
      <c r="H8" s="8" t="s">
        <v>249</v>
      </c>
      <c r="I8" s="12">
        <v>900567130</v>
      </c>
      <c r="J8" s="13" t="s">
        <v>1478</v>
      </c>
      <c r="K8" s="22">
        <v>3032.00216</v>
      </c>
      <c r="L8" s="15" t="s">
        <v>172</v>
      </c>
      <c r="M8" s="16">
        <v>5211.21</v>
      </c>
      <c r="N8" s="16">
        <v>0</v>
      </c>
      <c r="O8" s="16">
        <f t="shared" si="1"/>
        <v>15800399.9762136</v>
      </c>
      <c r="P8" s="14" t="s">
        <v>36</v>
      </c>
    </row>
    <row r="9" spans="1:16" x14ac:dyDescent="0.3">
      <c r="A9" s="8" t="s">
        <v>320</v>
      </c>
      <c r="B9" s="9" t="s">
        <v>352</v>
      </c>
      <c r="C9" s="10" t="s">
        <v>353</v>
      </c>
      <c r="D9" s="11">
        <v>43956</v>
      </c>
      <c r="E9" s="11">
        <v>43956</v>
      </c>
      <c r="F9" s="31">
        <v>3532000</v>
      </c>
      <c r="G9" s="32">
        <v>0</v>
      </c>
      <c r="H9" s="8" t="s">
        <v>354</v>
      </c>
      <c r="I9" s="12">
        <v>900791672</v>
      </c>
      <c r="J9" s="13" t="s">
        <v>1479</v>
      </c>
      <c r="K9" s="22">
        <v>484.5</v>
      </c>
      <c r="L9" s="15" t="s">
        <v>172</v>
      </c>
      <c r="M9" s="16">
        <v>5680</v>
      </c>
      <c r="N9" s="16">
        <v>0</v>
      </c>
      <c r="O9" s="16">
        <f t="shared" si="1"/>
        <v>2751960</v>
      </c>
      <c r="P9" s="14" t="s">
        <v>36</v>
      </c>
    </row>
    <row r="10" spans="1:16" x14ac:dyDescent="0.3">
      <c r="A10" s="8" t="s">
        <v>387</v>
      </c>
      <c r="B10" s="9" t="s">
        <v>392</v>
      </c>
      <c r="C10" s="10" t="s">
        <v>393</v>
      </c>
      <c r="D10" s="11">
        <v>43963</v>
      </c>
      <c r="E10" s="11">
        <v>43963</v>
      </c>
      <c r="F10" s="31">
        <v>166018725</v>
      </c>
      <c r="G10" s="32">
        <v>0</v>
      </c>
      <c r="H10" s="8" t="s">
        <v>390</v>
      </c>
      <c r="I10" s="12">
        <v>813005241</v>
      </c>
      <c r="J10" s="13" t="s">
        <v>1440</v>
      </c>
      <c r="K10" s="14">
        <f>600*4</f>
        <v>2400</v>
      </c>
      <c r="L10" s="15" t="s">
        <v>172</v>
      </c>
      <c r="M10" s="16">
        <v>7500</v>
      </c>
      <c r="N10" s="16">
        <v>0</v>
      </c>
      <c r="O10" s="16">
        <f t="shared" si="1"/>
        <v>18000000</v>
      </c>
      <c r="P10" s="14" t="s">
        <v>36</v>
      </c>
    </row>
    <row r="11" spans="1:16" x14ac:dyDescent="0.3">
      <c r="A11" s="8" t="s">
        <v>387</v>
      </c>
      <c r="B11" s="9" t="s">
        <v>397</v>
      </c>
      <c r="C11" s="10" t="s">
        <v>398</v>
      </c>
      <c r="D11" s="11">
        <v>44015</v>
      </c>
      <c r="E11" s="11">
        <v>44018</v>
      </c>
      <c r="F11" s="31">
        <v>201000100</v>
      </c>
      <c r="G11" s="32">
        <v>0</v>
      </c>
      <c r="H11" s="8" t="s">
        <v>390</v>
      </c>
      <c r="I11" s="12">
        <v>813005241</v>
      </c>
      <c r="J11" s="13" t="s">
        <v>1440</v>
      </c>
      <c r="K11" s="14">
        <f>600*4</f>
        <v>2400</v>
      </c>
      <c r="L11" s="15" t="s">
        <v>172</v>
      </c>
      <c r="M11" s="16">
        <v>6000</v>
      </c>
      <c r="N11" s="16">
        <v>0</v>
      </c>
      <c r="O11" s="16">
        <f t="shared" si="1"/>
        <v>14400000</v>
      </c>
      <c r="P11" s="14" t="s">
        <v>36</v>
      </c>
    </row>
    <row r="12" spans="1:16" x14ac:dyDescent="0.3">
      <c r="A12" s="8" t="s">
        <v>407</v>
      </c>
      <c r="B12" s="9" t="s">
        <v>460</v>
      </c>
      <c r="C12" s="10" t="s">
        <v>462</v>
      </c>
      <c r="D12" s="11">
        <v>43987</v>
      </c>
      <c r="E12" s="11">
        <v>43987</v>
      </c>
      <c r="F12" s="31">
        <v>4010600</v>
      </c>
      <c r="G12" s="32">
        <v>0</v>
      </c>
      <c r="H12" s="8" t="s">
        <v>461</v>
      </c>
      <c r="I12" s="12">
        <v>900567130</v>
      </c>
      <c r="J12" s="13" t="s">
        <v>1480</v>
      </c>
      <c r="K12" s="14">
        <v>757</v>
      </c>
      <c r="L12" s="15" t="s">
        <v>172</v>
      </c>
      <c r="M12" s="16">
        <v>4333.6856010568035</v>
      </c>
      <c r="N12" s="16">
        <v>0</v>
      </c>
      <c r="O12" s="16">
        <f t="shared" si="1"/>
        <v>3280600.0000000005</v>
      </c>
      <c r="P12" s="14" t="s">
        <v>36</v>
      </c>
    </row>
    <row r="13" spans="1:16" x14ac:dyDescent="0.3">
      <c r="A13" s="8" t="s">
        <v>407</v>
      </c>
      <c r="B13" s="9" t="s">
        <v>463</v>
      </c>
      <c r="C13" s="10" t="s">
        <v>465</v>
      </c>
      <c r="D13" s="11">
        <v>43987</v>
      </c>
      <c r="E13" s="11">
        <v>43987</v>
      </c>
      <c r="F13" s="31">
        <v>4040000</v>
      </c>
      <c r="G13" s="32">
        <v>0</v>
      </c>
      <c r="H13" s="8" t="s">
        <v>464</v>
      </c>
      <c r="I13" s="12">
        <v>900350133</v>
      </c>
      <c r="J13" s="13" t="s">
        <v>1480</v>
      </c>
      <c r="K13" s="14">
        <v>150</v>
      </c>
      <c r="L13" s="15" t="s">
        <v>172</v>
      </c>
      <c r="M13" s="16">
        <f>12400*2</f>
        <v>24800</v>
      </c>
      <c r="N13" s="16">
        <v>0</v>
      </c>
      <c r="O13" s="16">
        <f t="shared" si="1"/>
        <v>3720000</v>
      </c>
      <c r="P13" s="14" t="s">
        <v>36</v>
      </c>
    </row>
    <row r="14" spans="1:16" x14ac:dyDescent="0.3">
      <c r="A14" s="8" t="s">
        <v>544</v>
      </c>
      <c r="B14" s="9" t="s">
        <v>545</v>
      </c>
      <c r="C14" s="10" t="s">
        <v>546</v>
      </c>
      <c r="D14" s="11" t="s">
        <v>547</v>
      </c>
      <c r="E14" s="11" t="s">
        <v>547</v>
      </c>
      <c r="F14" s="31">
        <v>21078782</v>
      </c>
      <c r="G14" s="32">
        <v>0</v>
      </c>
      <c r="H14" s="8" t="s">
        <v>548</v>
      </c>
      <c r="I14" s="12">
        <v>900406714</v>
      </c>
      <c r="J14" s="13" t="s">
        <v>1481</v>
      </c>
      <c r="K14" s="14">
        <v>190</v>
      </c>
      <c r="L14" s="15" t="s">
        <v>172</v>
      </c>
      <c r="M14" s="16">
        <f>67587/19</f>
        <v>3557.2105263157896</v>
      </c>
      <c r="N14" s="16">
        <f t="shared" ref="N14:N15" si="2">M14*0.19</f>
        <v>675.87</v>
      </c>
      <c r="O14" s="16">
        <f t="shared" si="1"/>
        <v>804285.3</v>
      </c>
      <c r="P14" s="14" t="s">
        <v>36</v>
      </c>
    </row>
    <row r="15" spans="1:16" x14ac:dyDescent="0.3">
      <c r="A15" s="8" t="s">
        <v>544</v>
      </c>
      <c r="B15" s="9" t="s">
        <v>545</v>
      </c>
      <c r="C15" s="10" t="s">
        <v>546</v>
      </c>
      <c r="D15" s="11" t="s">
        <v>547</v>
      </c>
      <c r="E15" s="11" t="s">
        <v>547</v>
      </c>
      <c r="F15" s="31">
        <v>21078782</v>
      </c>
      <c r="G15" s="32">
        <v>0</v>
      </c>
      <c r="H15" s="8" t="s">
        <v>548</v>
      </c>
      <c r="I15" s="12">
        <v>900406714</v>
      </c>
      <c r="J15" s="13" t="s">
        <v>561</v>
      </c>
      <c r="K15" s="14">
        <v>126</v>
      </c>
      <c r="L15" s="15" t="s">
        <v>172</v>
      </c>
      <c r="M15" s="16">
        <v>25205</v>
      </c>
      <c r="N15" s="16">
        <f t="shared" si="2"/>
        <v>4788.95</v>
      </c>
      <c r="O15" s="16">
        <f t="shared" si="1"/>
        <v>3779237.7</v>
      </c>
      <c r="P15" s="14" t="s">
        <v>36</v>
      </c>
    </row>
    <row r="16" spans="1:16" x14ac:dyDescent="0.3">
      <c r="A16" s="8" t="s">
        <v>623</v>
      </c>
      <c r="B16" s="9" t="s">
        <v>637</v>
      </c>
      <c r="C16" s="10" t="s">
        <v>625</v>
      </c>
      <c r="D16" s="11">
        <v>43920</v>
      </c>
      <c r="E16" s="11">
        <v>43922</v>
      </c>
      <c r="F16" s="31">
        <v>12050000</v>
      </c>
      <c r="G16" s="32">
        <v>0</v>
      </c>
      <c r="H16" s="8" t="s">
        <v>638</v>
      </c>
      <c r="I16" s="12">
        <v>901002888</v>
      </c>
      <c r="J16" s="13" t="s">
        <v>639</v>
      </c>
      <c r="K16" s="14">
        <v>700</v>
      </c>
      <c r="L16" s="15" t="s">
        <v>172</v>
      </c>
      <c r="M16" s="16">
        <v>9500</v>
      </c>
      <c r="N16" s="16">
        <v>0</v>
      </c>
      <c r="O16" s="16">
        <f t="shared" si="1"/>
        <v>6650000</v>
      </c>
      <c r="P16" s="14" t="s">
        <v>36</v>
      </c>
    </row>
    <row r="17" spans="1:16" x14ac:dyDescent="0.3">
      <c r="A17" s="8" t="s">
        <v>623</v>
      </c>
      <c r="B17" s="9" t="s">
        <v>671</v>
      </c>
      <c r="C17" s="10" t="s">
        <v>661</v>
      </c>
      <c r="D17" s="11">
        <v>43979</v>
      </c>
      <c r="E17" s="11">
        <v>43979</v>
      </c>
      <c r="F17" s="31">
        <v>27353976</v>
      </c>
      <c r="G17" s="32">
        <v>0</v>
      </c>
      <c r="H17" s="8" t="s">
        <v>652</v>
      </c>
      <c r="I17" s="12">
        <v>830094214</v>
      </c>
      <c r="J17" s="13" t="s">
        <v>673</v>
      </c>
      <c r="K17" s="14">
        <v>1218</v>
      </c>
      <c r="L17" s="15" t="s">
        <v>172</v>
      </c>
      <c r="M17" s="16">
        <v>8332</v>
      </c>
      <c r="N17" s="16">
        <v>0</v>
      </c>
      <c r="O17" s="16">
        <f t="shared" si="1"/>
        <v>10148376</v>
      </c>
      <c r="P17" s="14" t="s">
        <v>36</v>
      </c>
    </row>
    <row r="18" spans="1:16" x14ac:dyDescent="0.3">
      <c r="A18" s="8" t="s">
        <v>693</v>
      </c>
      <c r="B18" s="9" t="s">
        <v>703</v>
      </c>
      <c r="C18" s="10" t="s">
        <v>704</v>
      </c>
      <c r="D18" s="11">
        <v>43944</v>
      </c>
      <c r="E18" s="11">
        <v>43944</v>
      </c>
      <c r="F18" s="31">
        <v>4605000</v>
      </c>
      <c r="G18" s="32">
        <v>0</v>
      </c>
      <c r="H18" s="8" t="s">
        <v>701</v>
      </c>
      <c r="I18" s="12">
        <v>900704052</v>
      </c>
      <c r="J18" s="13" t="s">
        <v>1482</v>
      </c>
      <c r="K18" s="14">
        <v>1140</v>
      </c>
      <c r="L18" s="15" t="s">
        <v>172</v>
      </c>
      <c r="M18" s="16">
        <v>4039.473684</v>
      </c>
      <c r="N18" s="16">
        <v>0</v>
      </c>
      <c r="O18" s="16">
        <f t="shared" si="1"/>
        <v>4604999.99976</v>
      </c>
      <c r="P18" s="14" t="s">
        <v>36</v>
      </c>
    </row>
    <row r="19" spans="1:16" x14ac:dyDescent="0.3">
      <c r="A19" s="8" t="s">
        <v>728</v>
      </c>
      <c r="B19" s="9">
        <v>1491804</v>
      </c>
      <c r="C19" s="10" t="s">
        <v>734</v>
      </c>
      <c r="D19" s="11">
        <v>43927</v>
      </c>
      <c r="E19" s="11">
        <v>43928</v>
      </c>
      <c r="F19" s="31">
        <v>82970740</v>
      </c>
      <c r="G19" s="32">
        <v>0</v>
      </c>
      <c r="H19" s="8" t="s">
        <v>735</v>
      </c>
      <c r="I19" s="12">
        <v>59311027</v>
      </c>
      <c r="J19" s="13" t="s">
        <v>1483</v>
      </c>
      <c r="K19" s="14">
        <v>3496</v>
      </c>
      <c r="L19" s="15" t="s">
        <v>172</v>
      </c>
      <c r="M19" s="16">
        <v>4289.4736842105267</v>
      </c>
      <c r="N19" s="16">
        <v>0</v>
      </c>
      <c r="O19" s="16">
        <f t="shared" si="1"/>
        <v>14996000.000000002</v>
      </c>
      <c r="P19" s="14" t="s">
        <v>36</v>
      </c>
    </row>
    <row r="20" spans="1:16" x14ac:dyDescent="0.3">
      <c r="A20" s="8" t="s">
        <v>728</v>
      </c>
      <c r="B20" s="9" t="s">
        <v>757</v>
      </c>
      <c r="C20" s="10" t="s">
        <v>756</v>
      </c>
      <c r="D20" s="11">
        <v>43970</v>
      </c>
      <c r="E20" s="11">
        <v>43970</v>
      </c>
      <c r="F20" s="31">
        <v>3817086</v>
      </c>
      <c r="G20" s="32">
        <v>0</v>
      </c>
      <c r="H20" s="8" t="s">
        <v>185</v>
      </c>
      <c r="I20" s="12">
        <v>10125834</v>
      </c>
      <c r="J20" s="13" t="s">
        <v>1484</v>
      </c>
      <c r="K20" s="14">
        <v>757</v>
      </c>
      <c r="L20" s="15" t="s">
        <v>172</v>
      </c>
      <c r="M20" s="16">
        <v>5042.3857331571999</v>
      </c>
      <c r="N20" s="16">
        <v>0</v>
      </c>
      <c r="O20" s="16">
        <f t="shared" si="1"/>
        <v>3817086.0000000005</v>
      </c>
      <c r="P20" s="14" t="s">
        <v>36</v>
      </c>
    </row>
    <row r="21" spans="1:16" x14ac:dyDescent="0.3">
      <c r="A21" s="8" t="s">
        <v>728</v>
      </c>
      <c r="B21" s="9" t="s">
        <v>758</v>
      </c>
      <c r="C21" s="10" t="s">
        <v>759</v>
      </c>
      <c r="D21" s="11">
        <v>43970</v>
      </c>
      <c r="E21" s="11">
        <v>43970</v>
      </c>
      <c r="F21" s="31">
        <v>984924.5</v>
      </c>
      <c r="G21" s="32">
        <v>0</v>
      </c>
      <c r="H21" s="8" t="s">
        <v>760</v>
      </c>
      <c r="I21" s="12">
        <v>900350133</v>
      </c>
      <c r="J21" s="13" t="s">
        <v>1485</v>
      </c>
      <c r="K21" s="22">
        <v>185.465</v>
      </c>
      <c r="L21" s="15" t="s">
        <v>172</v>
      </c>
      <c r="M21" s="16">
        <v>5310.5680317040951</v>
      </c>
      <c r="N21" s="16">
        <v>0</v>
      </c>
      <c r="O21" s="16">
        <f t="shared" si="1"/>
        <v>984924.5</v>
      </c>
      <c r="P21" s="14" t="s">
        <v>36</v>
      </c>
    </row>
    <row r="22" spans="1:16" x14ac:dyDescent="0.3">
      <c r="A22" s="8" t="s">
        <v>728</v>
      </c>
      <c r="B22" s="9" t="s">
        <v>763</v>
      </c>
      <c r="C22" s="10" t="s">
        <v>759</v>
      </c>
      <c r="D22" s="11">
        <v>43973</v>
      </c>
      <c r="E22" s="11">
        <v>43973</v>
      </c>
      <c r="F22" s="31">
        <v>1407035</v>
      </c>
      <c r="G22" s="32">
        <v>0</v>
      </c>
      <c r="H22" s="8" t="s">
        <v>764</v>
      </c>
      <c r="I22" s="12">
        <v>900922139</v>
      </c>
      <c r="J22" s="13" t="s">
        <v>1484</v>
      </c>
      <c r="K22" s="14">
        <v>50</v>
      </c>
      <c r="L22" s="15" t="s">
        <v>172</v>
      </c>
      <c r="M22" s="16">
        <v>28140.7</v>
      </c>
      <c r="N22" s="16">
        <v>0</v>
      </c>
      <c r="O22" s="16">
        <f t="shared" si="1"/>
        <v>1407035</v>
      </c>
      <c r="P22" s="14" t="s">
        <v>36</v>
      </c>
    </row>
    <row r="23" spans="1:16" x14ac:dyDescent="0.3">
      <c r="A23" s="8" t="s">
        <v>1231</v>
      </c>
      <c r="B23" s="9" t="s">
        <v>1232</v>
      </c>
      <c r="C23" s="17" t="s">
        <v>1233</v>
      </c>
      <c r="D23" s="11">
        <v>43915</v>
      </c>
      <c r="E23" s="11">
        <v>43916</v>
      </c>
      <c r="F23" s="31">
        <v>79231499</v>
      </c>
      <c r="G23" s="32">
        <v>0</v>
      </c>
      <c r="H23" s="8" t="s">
        <v>1234</v>
      </c>
      <c r="I23" s="12">
        <v>900916649</v>
      </c>
      <c r="J23" s="13" t="s">
        <v>1486</v>
      </c>
      <c r="K23" s="14">
        <v>1000</v>
      </c>
      <c r="L23" s="18" t="s">
        <v>172</v>
      </c>
      <c r="M23" s="16">
        <v>8000</v>
      </c>
      <c r="N23" s="16">
        <v>0</v>
      </c>
      <c r="O23" s="16">
        <f t="shared" si="1"/>
        <v>8000000</v>
      </c>
      <c r="P23" s="19" t="s">
        <v>36</v>
      </c>
    </row>
    <row r="24" spans="1:16" x14ac:dyDescent="0.3">
      <c r="A24" s="8" t="s">
        <v>885</v>
      </c>
      <c r="B24" s="9" t="s">
        <v>909</v>
      </c>
      <c r="C24" s="17" t="s">
        <v>910</v>
      </c>
      <c r="D24" s="11">
        <v>43917</v>
      </c>
      <c r="E24" s="11">
        <v>43910</v>
      </c>
      <c r="F24" s="31">
        <v>1911550</v>
      </c>
      <c r="G24" s="32">
        <v>0</v>
      </c>
      <c r="H24" s="8" t="s">
        <v>911</v>
      </c>
      <c r="I24" s="12">
        <v>12109146</v>
      </c>
      <c r="J24" s="13" t="s">
        <v>1487</v>
      </c>
      <c r="K24" s="14">
        <v>36</v>
      </c>
      <c r="L24" s="18" t="s">
        <v>172</v>
      </c>
      <c r="M24" s="16">
        <f>(31600/1.19)/4</f>
        <v>6638.6554621848745</v>
      </c>
      <c r="N24" s="16">
        <f t="shared" ref="N24:N26" si="3">M24*0.19</f>
        <v>1261.3445378151262</v>
      </c>
      <c r="O24" s="16">
        <f t="shared" si="1"/>
        <v>284400.00000000006</v>
      </c>
      <c r="P24" s="19" t="s">
        <v>36</v>
      </c>
    </row>
    <row r="25" spans="1:16" x14ac:dyDescent="0.3">
      <c r="A25" s="8" t="s">
        <v>885</v>
      </c>
      <c r="B25" s="9" t="s">
        <v>909</v>
      </c>
      <c r="C25" s="17" t="s">
        <v>910</v>
      </c>
      <c r="D25" s="11">
        <v>43917</v>
      </c>
      <c r="E25" s="11">
        <v>43910</v>
      </c>
      <c r="F25" s="31">
        <v>1911550</v>
      </c>
      <c r="G25" s="32">
        <v>0</v>
      </c>
      <c r="H25" s="8" t="s">
        <v>911</v>
      </c>
      <c r="I25" s="12">
        <v>12109146</v>
      </c>
      <c r="J25" s="13" t="s">
        <v>1488</v>
      </c>
      <c r="K25" s="14">
        <v>3</v>
      </c>
      <c r="L25" s="18" t="s">
        <v>172</v>
      </c>
      <c r="M25" s="16">
        <v>41176.470588235294</v>
      </c>
      <c r="N25" s="16">
        <f t="shared" si="3"/>
        <v>7823.5294117647063</v>
      </c>
      <c r="O25" s="16">
        <f t="shared" si="1"/>
        <v>147000</v>
      </c>
      <c r="P25" s="19" t="s">
        <v>36</v>
      </c>
    </row>
    <row r="26" spans="1:16" x14ac:dyDescent="0.3">
      <c r="A26" s="8" t="s">
        <v>885</v>
      </c>
      <c r="B26" s="9" t="s">
        <v>909</v>
      </c>
      <c r="C26" s="17" t="s">
        <v>910</v>
      </c>
      <c r="D26" s="11">
        <v>43917</v>
      </c>
      <c r="E26" s="11">
        <v>43910</v>
      </c>
      <c r="F26" s="31">
        <v>1911550</v>
      </c>
      <c r="G26" s="32">
        <v>0</v>
      </c>
      <c r="H26" s="8" t="s">
        <v>911</v>
      </c>
      <c r="I26" s="12">
        <v>12109146</v>
      </c>
      <c r="J26" s="13" t="s">
        <v>1489</v>
      </c>
      <c r="K26" s="14">
        <v>8</v>
      </c>
      <c r="L26" s="18" t="s">
        <v>172</v>
      </c>
      <c r="M26" s="16">
        <f>24285.7142857143/2</f>
        <v>12142.85714285715</v>
      </c>
      <c r="N26" s="16">
        <f t="shared" si="3"/>
        <v>2307.1428571428587</v>
      </c>
      <c r="O26" s="16">
        <f t="shared" si="1"/>
        <v>115600.00000000007</v>
      </c>
      <c r="P26" s="19" t="s">
        <v>36</v>
      </c>
    </row>
    <row r="27" spans="1:16" x14ac:dyDescent="0.3">
      <c r="A27" s="8" t="s">
        <v>885</v>
      </c>
      <c r="B27" s="9">
        <v>49008</v>
      </c>
      <c r="C27" s="17" t="s">
        <v>949</v>
      </c>
      <c r="D27" s="11">
        <v>43973</v>
      </c>
      <c r="E27" s="11">
        <v>43973</v>
      </c>
      <c r="F27" s="31">
        <v>4484000</v>
      </c>
      <c r="G27" s="32">
        <v>0</v>
      </c>
      <c r="H27" s="8" t="s">
        <v>224</v>
      </c>
      <c r="I27" s="12">
        <v>900300970</v>
      </c>
      <c r="J27" s="13" t="s">
        <v>36</v>
      </c>
      <c r="K27" s="14">
        <v>318</v>
      </c>
      <c r="L27" s="18" t="s">
        <v>172</v>
      </c>
      <c r="M27" s="16">
        <v>14100.6289308176</v>
      </c>
      <c r="N27" s="16">
        <v>0</v>
      </c>
      <c r="O27" s="16">
        <f t="shared" si="1"/>
        <v>4483999.9999999972</v>
      </c>
      <c r="P27" s="19" t="s">
        <v>36</v>
      </c>
    </row>
    <row r="28" spans="1:16" x14ac:dyDescent="0.3">
      <c r="A28" s="8" t="s">
        <v>959</v>
      </c>
      <c r="B28" s="9">
        <v>35</v>
      </c>
      <c r="C28" s="10" t="s">
        <v>960</v>
      </c>
      <c r="D28" s="11">
        <v>43477</v>
      </c>
      <c r="E28" s="11">
        <v>43800</v>
      </c>
      <c r="F28" s="31">
        <v>0</v>
      </c>
      <c r="G28" s="32">
        <v>67434392</v>
      </c>
      <c r="H28" s="8" t="s">
        <v>961</v>
      </c>
      <c r="I28" s="12">
        <v>811044253</v>
      </c>
      <c r="J28" s="13" t="s">
        <v>974</v>
      </c>
      <c r="K28" s="14">
        <v>400</v>
      </c>
      <c r="L28" s="18" t="s">
        <v>172</v>
      </c>
      <c r="M28" s="16">
        <v>3492</v>
      </c>
      <c r="N28" s="16">
        <v>0</v>
      </c>
      <c r="O28" s="16">
        <f t="shared" si="1"/>
        <v>1396800</v>
      </c>
      <c r="P28" s="19" t="s">
        <v>36</v>
      </c>
    </row>
    <row r="29" spans="1:16" x14ac:dyDescent="0.3">
      <c r="A29" s="8" t="s">
        <v>976</v>
      </c>
      <c r="B29" s="9" t="s">
        <v>1038</v>
      </c>
      <c r="C29" s="10" t="s">
        <v>1037</v>
      </c>
      <c r="D29" s="11">
        <v>43986</v>
      </c>
      <c r="E29" s="11">
        <v>43986</v>
      </c>
      <c r="F29" s="31">
        <v>4440238.3</v>
      </c>
      <c r="G29" s="32">
        <v>0</v>
      </c>
      <c r="H29" s="8" t="s">
        <v>249</v>
      </c>
      <c r="I29" s="12">
        <v>900567130</v>
      </c>
      <c r="J29" s="13" t="s">
        <v>1490</v>
      </c>
      <c r="K29" s="14">
        <v>787</v>
      </c>
      <c r="L29" s="18" t="s">
        <v>172</v>
      </c>
      <c r="M29" s="16">
        <v>4610</v>
      </c>
      <c r="N29" s="16">
        <v>0</v>
      </c>
      <c r="O29" s="16">
        <f t="shared" si="1"/>
        <v>3628070</v>
      </c>
      <c r="P29" s="14" t="s">
        <v>36</v>
      </c>
    </row>
    <row r="30" spans="1:16" x14ac:dyDescent="0.3">
      <c r="A30" s="8" t="s">
        <v>976</v>
      </c>
      <c r="B30" s="9" t="s">
        <v>1258</v>
      </c>
      <c r="C30" s="10" t="s">
        <v>1259</v>
      </c>
      <c r="D30" s="11">
        <v>43770</v>
      </c>
      <c r="E30" s="11">
        <v>43936</v>
      </c>
      <c r="F30" s="31">
        <v>0</v>
      </c>
      <c r="G30" s="32">
        <v>31068000</v>
      </c>
      <c r="H30" s="8" t="s">
        <v>1260</v>
      </c>
      <c r="I30" s="12">
        <v>812000152</v>
      </c>
      <c r="J30" s="13" t="s">
        <v>1262</v>
      </c>
      <c r="K30" s="14">
        <v>400</v>
      </c>
      <c r="L30" s="18" t="s">
        <v>172</v>
      </c>
      <c r="M30" s="16">
        <v>6000</v>
      </c>
      <c r="N30" s="16">
        <v>0</v>
      </c>
      <c r="O30" s="16">
        <f t="shared" si="1"/>
        <v>2400000</v>
      </c>
      <c r="P30" s="14" t="s">
        <v>36</v>
      </c>
    </row>
    <row r="31" spans="1:16" x14ac:dyDescent="0.3">
      <c r="A31" s="8" t="s">
        <v>976</v>
      </c>
      <c r="B31" s="9" t="s">
        <v>1258</v>
      </c>
      <c r="C31" s="10" t="s">
        <v>1259</v>
      </c>
      <c r="D31" s="11">
        <v>43770</v>
      </c>
      <c r="E31" s="11">
        <v>43936</v>
      </c>
      <c r="F31" s="31">
        <v>0</v>
      </c>
      <c r="G31" s="32">
        <v>31068000</v>
      </c>
      <c r="H31" s="8" t="s">
        <v>1260</v>
      </c>
      <c r="I31" s="12">
        <v>812000152</v>
      </c>
      <c r="J31" s="13" t="s">
        <v>1262</v>
      </c>
      <c r="K31" s="14">
        <v>400</v>
      </c>
      <c r="L31" s="18" t="s">
        <v>172</v>
      </c>
      <c r="M31" s="16">
        <v>6000</v>
      </c>
      <c r="N31" s="16">
        <v>0</v>
      </c>
      <c r="O31" s="16">
        <f t="shared" si="1"/>
        <v>2400000</v>
      </c>
      <c r="P31" s="14" t="s">
        <v>36</v>
      </c>
    </row>
    <row r="32" spans="1:16" x14ac:dyDescent="0.3">
      <c r="A32" s="8" t="s">
        <v>1055</v>
      </c>
      <c r="B32" s="9" t="s">
        <v>1089</v>
      </c>
      <c r="C32" s="10" t="s">
        <v>1090</v>
      </c>
      <c r="D32" s="11">
        <v>43987</v>
      </c>
      <c r="E32" s="11">
        <v>43987</v>
      </c>
      <c r="F32" s="31">
        <v>2485303.5</v>
      </c>
      <c r="G32" s="32">
        <v>0</v>
      </c>
      <c r="H32" s="8" t="s">
        <v>249</v>
      </c>
      <c r="I32" s="12">
        <v>900567130</v>
      </c>
      <c r="J32" s="13" t="s">
        <v>1491</v>
      </c>
      <c r="K32" s="14">
        <v>562</v>
      </c>
      <c r="L32" s="18" t="s">
        <v>172</v>
      </c>
      <c r="M32" s="16">
        <v>4422.2482206405693</v>
      </c>
      <c r="N32" s="16">
        <v>0</v>
      </c>
      <c r="O32" s="16">
        <f t="shared" si="1"/>
        <v>2485303.5</v>
      </c>
      <c r="P32" s="14" t="s">
        <v>36</v>
      </c>
    </row>
    <row r="33" spans="1:16" x14ac:dyDescent="0.3">
      <c r="A33" s="8" t="s">
        <v>1115</v>
      </c>
      <c r="B33" s="9" t="s">
        <v>1127</v>
      </c>
      <c r="C33" s="10" t="s">
        <v>1128</v>
      </c>
      <c r="D33" s="11">
        <v>43955</v>
      </c>
      <c r="E33" s="11">
        <v>43955</v>
      </c>
      <c r="F33" s="31">
        <v>12251660.609999999</v>
      </c>
      <c r="G33" s="32">
        <v>0</v>
      </c>
      <c r="H33" s="8" t="s">
        <v>51</v>
      </c>
      <c r="I33" s="12">
        <v>83001338</v>
      </c>
      <c r="J33" s="13" t="s">
        <v>1492</v>
      </c>
      <c r="K33" s="14">
        <f>200*4</f>
        <v>800</v>
      </c>
      <c r="L33" s="18" t="s">
        <v>172</v>
      </c>
      <c r="M33" s="16">
        <v>3856.25</v>
      </c>
      <c r="N33" s="16">
        <v>0</v>
      </c>
      <c r="O33" s="16">
        <f t="shared" si="1"/>
        <v>3085000</v>
      </c>
      <c r="P33" s="19" t="s">
        <v>36</v>
      </c>
    </row>
    <row r="34" spans="1:16" x14ac:dyDescent="0.3">
      <c r="A34" s="8" t="s">
        <v>1115</v>
      </c>
      <c r="B34" s="9" t="s">
        <v>1142</v>
      </c>
      <c r="C34" s="10" t="s">
        <v>1143</v>
      </c>
      <c r="D34" s="11">
        <v>43965</v>
      </c>
      <c r="E34" s="11">
        <v>43965</v>
      </c>
      <c r="F34" s="31">
        <v>10113019.77</v>
      </c>
      <c r="G34" s="32">
        <v>0</v>
      </c>
      <c r="H34" s="8" t="s">
        <v>1144</v>
      </c>
      <c r="I34" s="12">
        <v>900791672</v>
      </c>
      <c r="J34" s="13" t="s">
        <v>1493</v>
      </c>
      <c r="K34" s="14">
        <f>319*4</f>
        <v>1276</v>
      </c>
      <c r="L34" s="18" t="s">
        <v>172</v>
      </c>
      <c r="M34" s="16">
        <f>22395.83/4</f>
        <v>5598.9575000000004</v>
      </c>
      <c r="N34" s="16">
        <v>0</v>
      </c>
      <c r="O34" s="16">
        <f t="shared" si="1"/>
        <v>7144269.7700000005</v>
      </c>
      <c r="P34" s="19" t="s">
        <v>36</v>
      </c>
    </row>
  </sheetData>
  <dataValidations count="16">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4 A2:B4 E5:E6 E8 E14:E15 E28:E29 D34:I34 A34:B3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B7 B14:B16 B28:B2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H6 H9 H12:H16 H23 H28 H31:H3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5 I9 I12:I14 I23 I28 I31:I3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7 A10:A16 A23 A28:A2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5:F6 F14:F15 F28:F29 F3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D7 D14:D15 D24 D27:E27 D28:D29">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6 I15">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9 B12:B13 B23 B3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9 F12:F13 F16 F23 F32:F3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9:E9 D12:E13 D16:E23 D25:E25 D32:E3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0 G23 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D31">
      <formula1>-9223372036854770000</formula1>
      <formula2>9223372036854770000</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J1" workbookViewId="0">
      <selection activeCell="O19" sqref="O19"/>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52</v>
      </c>
      <c r="C2" s="10" t="s">
        <v>53</v>
      </c>
      <c r="D2" s="11">
        <v>43985</v>
      </c>
      <c r="E2" s="11">
        <v>43985</v>
      </c>
      <c r="F2" s="31">
        <v>3379880</v>
      </c>
      <c r="G2" s="32">
        <v>0</v>
      </c>
      <c r="H2" s="8" t="s">
        <v>54</v>
      </c>
      <c r="I2" s="12">
        <v>890900943</v>
      </c>
      <c r="J2" s="13" t="s">
        <v>55</v>
      </c>
      <c r="K2" s="14">
        <v>7</v>
      </c>
      <c r="L2" s="15" t="s">
        <v>250</v>
      </c>
      <c r="M2" s="16">
        <v>405747.9</v>
      </c>
      <c r="N2" s="16">
        <f t="shared" ref="N2:N3" si="0">M2*19%</f>
        <v>77092.10100000001</v>
      </c>
      <c r="O2" s="16">
        <f t="shared" ref="O2:O3" si="1">K2*(M2+N2)</f>
        <v>3379880.0070000002</v>
      </c>
      <c r="P2" s="14" t="s">
        <v>1274</v>
      </c>
    </row>
    <row r="3" spans="1:16" x14ac:dyDescent="0.3">
      <c r="A3" s="8" t="s">
        <v>16</v>
      </c>
      <c r="B3" s="9" t="s">
        <v>65</v>
      </c>
      <c r="C3" s="10" t="s">
        <v>66</v>
      </c>
      <c r="D3" s="11">
        <v>44007</v>
      </c>
      <c r="E3" s="11">
        <v>44007</v>
      </c>
      <c r="F3" s="31">
        <v>1631000</v>
      </c>
      <c r="G3" s="32">
        <v>0</v>
      </c>
      <c r="H3" s="8" t="s">
        <v>54</v>
      </c>
      <c r="I3" s="12">
        <v>890900943</v>
      </c>
      <c r="J3" s="13" t="s">
        <v>67</v>
      </c>
      <c r="K3" s="14">
        <v>7</v>
      </c>
      <c r="L3" s="15" t="s">
        <v>250</v>
      </c>
      <c r="M3" s="16">
        <v>195798.32</v>
      </c>
      <c r="N3" s="16">
        <f t="shared" si="0"/>
        <v>37201.680800000002</v>
      </c>
      <c r="O3" s="16">
        <f t="shared" si="1"/>
        <v>1631000.0056</v>
      </c>
      <c r="P3" s="14" t="s">
        <v>1274</v>
      </c>
    </row>
    <row r="4" spans="1:16" x14ac:dyDescent="0.3">
      <c r="A4" s="8" t="s">
        <v>1289</v>
      </c>
      <c r="B4" s="9" t="s">
        <v>127</v>
      </c>
      <c r="C4" s="17" t="s">
        <v>1317</v>
      </c>
      <c r="D4" s="11">
        <v>43990</v>
      </c>
      <c r="E4" s="11">
        <v>43992</v>
      </c>
      <c r="F4" s="31">
        <v>20349000</v>
      </c>
      <c r="G4" s="32">
        <v>0</v>
      </c>
      <c r="H4" s="8" t="s">
        <v>1318</v>
      </c>
      <c r="I4" s="12">
        <v>901094895</v>
      </c>
      <c r="J4" s="13" t="s">
        <v>1319</v>
      </c>
      <c r="K4" s="14">
        <v>18</v>
      </c>
      <c r="L4" s="18" t="s">
        <v>250</v>
      </c>
      <c r="M4" s="16">
        <v>950000</v>
      </c>
      <c r="N4" s="16">
        <f>M4*0.19</f>
        <v>180500</v>
      </c>
      <c r="O4" s="16">
        <f>K4*(M4+N4)</f>
        <v>20349000</v>
      </c>
      <c r="P4" s="14" t="s">
        <v>1274</v>
      </c>
    </row>
    <row r="5" spans="1:16" x14ac:dyDescent="0.3">
      <c r="A5" s="8" t="s">
        <v>86</v>
      </c>
      <c r="B5" s="9" t="s">
        <v>127</v>
      </c>
      <c r="C5" s="10" t="s">
        <v>128</v>
      </c>
      <c r="D5" s="11">
        <v>43977</v>
      </c>
      <c r="E5" s="11">
        <v>43980</v>
      </c>
      <c r="F5" s="31">
        <v>66640000</v>
      </c>
      <c r="G5" s="32">
        <v>0</v>
      </c>
      <c r="H5" s="8" t="s">
        <v>129</v>
      </c>
      <c r="I5" s="12">
        <v>900491441</v>
      </c>
      <c r="J5" s="13" t="s">
        <v>130</v>
      </c>
      <c r="K5" s="14">
        <v>40</v>
      </c>
      <c r="L5" s="15" t="s">
        <v>250</v>
      </c>
      <c r="M5" s="16">
        <v>1400000</v>
      </c>
      <c r="N5" s="16">
        <f>M5*0.19</f>
        <v>266000</v>
      </c>
      <c r="O5" s="16">
        <f>K5*(M5+N5)</f>
        <v>66640000</v>
      </c>
      <c r="P5" s="14" t="s">
        <v>1274</v>
      </c>
    </row>
    <row r="6" spans="1:16" x14ac:dyDescent="0.3">
      <c r="A6" s="8" t="s">
        <v>86</v>
      </c>
      <c r="B6" s="9">
        <v>52574</v>
      </c>
      <c r="C6" s="10" t="s">
        <v>150</v>
      </c>
      <c r="D6" s="11">
        <v>44036</v>
      </c>
      <c r="E6" s="11">
        <v>44036</v>
      </c>
      <c r="F6" s="31">
        <v>84252000</v>
      </c>
      <c r="G6" s="32">
        <v>0</v>
      </c>
      <c r="H6" s="8" t="s">
        <v>146</v>
      </c>
      <c r="I6" s="12">
        <v>9001413756</v>
      </c>
      <c r="J6" s="13" t="s">
        <v>151</v>
      </c>
      <c r="K6" s="14">
        <v>59</v>
      </c>
      <c r="L6" s="15" t="s">
        <v>250</v>
      </c>
      <c r="M6" s="16">
        <v>1200000</v>
      </c>
      <c r="N6" s="16">
        <v>228000</v>
      </c>
      <c r="O6" s="16">
        <f>K6*(M6+N6)</f>
        <v>84252000</v>
      </c>
      <c r="P6" s="14" t="s">
        <v>1274</v>
      </c>
    </row>
    <row r="7" spans="1:16" x14ac:dyDescent="0.3">
      <c r="A7" s="8" t="s">
        <v>153</v>
      </c>
      <c r="B7" s="9" t="s">
        <v>212</v>
      </c>
      <c r="C7" s="10" t="s">
        <v>213</v>
      </c>
      <c r="D7" s="11">
        <v>43971</v>
      </c>
      <c r="E7" s="11">
        <v>43971</v>
      </c>
      <c r="F7" s="31">
        <v>7102970</v>
      </c>
      <c r="G7" s="32">
        <v>0</v>
      </c>
      <c r="H7" s="8" t="s">
        <v>214</v>
      </c>
      <c r="I7" s="12">
        <v>890900943</v>
      </c>
      <c r="J7" s="13" t="s">
        <v>215</v>
      </c>
      <c r="K7" s="14">
        <v>5</v>
      </c>
      <c r="L7" s="15" t="s">
        <v>250</v>
      </c>
      <c r="M7" s="16">
        <f>1420594/1.19</f>
        <v>1193776.4705882354</v>
      </c>
      <c r="N7" s="16">
        <f t="shared" ref="N7:N12" si="2">M7*0.19</f>
        <v>226817.52941176473</v>
      </c>
      <c r="O7" s="16">
        <f>K7*(M7+N7)</f>
        <v>7102970.0000000009</v>
      </c>
      <c r="P7" s="14" t="s">
        <v>1274</v>
      </c>
    </row>
    <row r="8" spans="1:16" x14ac:dyDescent="0.3">
      <c r="A8" s="8" t="s">
        <v>252</v>
      </c>
      <c r="B8" s="9" t="s">
        <v>293</v>
      </c>
      <c r="C8" s="10" t="s">
        <v>294</v>
      </c>
      <c r="D8" s="11">
        <v>43990</v>
      </c>
      <c r="E8" s="11">
        <v>43991</v>
      </c>
      <c r="F8" s="31">
        <v>9282000</v>
      </c>
      <c r="G8" s="32">
        <v>0</v>
      </c>
      <c r="H8" s="8" t="s">
        <v>295</v>
      </c>
      <c r="I8" s="12">
        <v>900372268</v>
      </c>
      <c r="J8" s="13" t="s">
        <v>296</v>
      </c>
      <c r="K8" s="14">
        <v>13</v>
      </c>
      <c r="L8" s="15" t="s">
        <v>250</v>
      </c>
      <c r="M8" s="16">
        <v>600000</v>
      </c>
      <c r="N8" s="16">
        <f t="shared" si="2"/>
        <v>114000</v>
      </c>
      <c r="O8" s="16">
        <f t="shared" ref="O8" si="3">K8*(M8+N8)</f>
        <v>9282000</v>
      </c>
      <c r="P8" s="14" t="s">
        <v>1274</v>
      </c>
    </row>
    <row r="9" spans="1:16" x14ac:dyDescent="0.3">
      <c r="A9" s="8" t="s">
        <v>1322</v>
      </c>
      <c r="B9" s="9" t="s">
        <v>1343</v>
      </c>
      <c r="C9" s="17" t="s">
        <v>1344</v>
      </c>
      <c r="D9" s="11">
        <v>43977</v>
      </c>
      <c r="E9" s="11">
        <v>43978</v>
      </c>
      <c r="F9" s="31">
        <v>18549720</v>
      </c>
      <c r="G9" s="32">
        <v>0</v>
      </c>
      <c r="H9" s="8" t="s">
        <v>1345</v>
      </c>
      <c r="I9" s="12">
        <v>1090509490</v>
      </c>
      <c r="J9" s="13" t="s">
        <v>1346</v>
      </c>
      <c r="K9" s="14">
        <v>2</v>
      </c>
      <c r="L9" s="15" t="s">
        <v>250</v>
      </c>
      <c r="M9" s="16">
        <v>1522500</v>
      </c>
      <c r="N9" s="16">
        <f t="shared" si="2"/>
        <v>289275</v>
      </c>
      <c r="O9" s="16">
        <f>K9*(M9+N9)</f>
        <v>3623550</v>
      </c>
      <c r="P9" s="14" t="s">
        <v>1274</v>
      </c>
    </row>
    <row r="10" spans="1:16" x14ac:dyDescent="0.3">
      <c r="A10" s="8" t="s">
        <v>1322</v>
      </c>
      <c r="B10" s="9" t="s">
        <v>1343</v>
      </c>
      <c r="C10" s="17" t="s">
        <v>1344</v>
      </c>
      <c r="D10" s="11">
        <v>43977</v>
      </c>
      <c r="E10" s="11">
        <v>43978</v>
      </c>
      <c r="F10" s="31">
        <v>18549720</v>
      </c>
      <c r="G10" s="32">
        <v>0</v>
      </c>
      <c r="H10" s="8" t="s">
        <v>1345</v>
      </c>
      <c r="I10" s="12">
        <v>1090509490</v>
      </c>
      <c r="J10" s="13" t="s">
        <v>1347</v>
      </c>
      <c r="K10" s="14">
        <v>6</v>
      </c>
      <c r="L10" s="15" t="s">
        <v>250</v>
      </c>
      <c r="M10" s="16">
        <v>758000</v>
      </c>
      <c r="N10" s="16">
        <f t="shared" si="2"/>
        <v>144020</v>
      </c>
      <c r="O10" s="16">
        <f>K10*(M10+N10)</f>
        <v>5412120</v>
      </c>
      <c r="P10" s="14" t="s">
        <v>1274</v>
      </c>
    </row>
    <row r="11" spans="1:16" x14ac:dyDescent="0.3">
      <c r="A11" s="8" t="s">
        <v>387</v>
      </c>
      <c r="B11" s="9" t="s">
        <v>392</v>
      </c>
      <c r="C11" s="10" t="s">
        <v>393</v>
      </c>
      <c r="D11" s="11">
        <v>43963</v>
      </c>
      <c r="E11" s="11">
        <v>43963</v>
      </c>
      <c r="F11" s="31">
        <v>166018725</v>
      </c>
      <c r="G11" s="32">
        <v>0</v>
      </c>
      <c r="H11" s="8" t="s">
        <v>390</v>
      </c>
      <c r="I11" s="12">
        <v>813005241</v>
      </c>
      <c r="J11" s="13" t="s">
        <v>396</v>
      </c>
      <c r="K11" s="14">
        <v>17</v>
      </c>
      <c r="L11" s="15" t="s">
        <v>250</v>
      </c>
      <c r="M11" s="16">
        <v>2168067.23</v>
      </c>
      <c r="N11" s="16">
        <f t="shared" si="2"/>
        <v>411932.77370000002</v>
      </c>
      <c r="O11" s="16">
        <f>K11*(M11+N11)</f>
        <v>43860000.062900007</v>
      </c>
      <c r="P11" s="14" t="s">
        <v>1274</v>
      </c>
    </row>
    <row r="12" spans="1:16" x14ac:dyDescent="0.3">
      <c r="A12" s="8" t="s">
        <v>407</v>
      </c>
      <c r="B12" s="9" t="s">
        <v>445</v>
      </c>
      <c r="C12" s="10" t="s">
        <v>447</v>
      </c>
      <c r="D12" s="11">
        <v>43978</v>
      </c>
      <c r="E12" s="11">
        <v>43978</v>
      </c>
      <c r="F12" s="31">
        <v>17372810</v>
      </c>
      <c r="G12" s="32">
        <v>0</v>
      </c>
      <c r="H12" s="8" t="s">
        <v>446</v>
      </c>
      <c r="I12" s="12">
        <v>900990752</v>
      </c>
      <c r="J12" s="13" t="s">
        <v>447</v>
      </c>
      <c r="K12" s="14">
        <v>13</v>
      </c>
      <c r="L12" s="15" t="s">
        <v>250</v>
      </c>
      <c r="M12" s="16">
        <v>1123000</v>
      </c>
      <c r="N12" s="16">
        <f t="shared" si="2"/>
        <v>213370</v>
      </c>
      <c r="O12" s="16">
        <f t="shared" ref="O12:O19" si="4">K12*(M12+N12)</f>
        <v>17372810</v>
      </c>
      <c r="P12" s="14" t="s">
        <v>1274</v>
      </c>
    </row>
    <row r="13" spans="1:16" x14ac:dyDescent="0.3">
      <c r="A13" s="8" t="s">
        <v>544</v>
      </c>
      <c r="B13" s="9" t="s">
        <v>592</v>
      </c>
      <c r="C13" s="10" t="s">
        <v>593</v>
      </c>
      <c r="D13" s="11">
        <v>43986</v>
      </c>
      <c r="E13" s="11">
        <v>43986</v>
      </c>
      <c r="F13" s="31">
        <v>39927000</v>
      </c>
      <c r="G13" s="32">
        <v>0</v>
      </c>
      <c r="H13" s="8" t="s">
        <v>594</v>
      </c>
      <c r="I13" s="12">
        <v>901031972</v>
      </c>
      <c r="J13" s="13" t="s">
        <v>596</v>
      </c>
      <c r="K13" s="14">
        <v>3</v>
      </c>
      <c r="L13" s="15" t="s">
        <v>250</v>
      </c>
      <c r="M13" s="16">
        <v>1100000</v>
      </c>
      <c r="N13" s="16">
        <f t="shared" ref="N13:N14" si="5">M13*0.19</f>
        <v>209000</v>
      </c>
      <c r="O13" s="16">
        <f t="shared" si="4"/>
        <v>3927000</v>
      </c>
      <c r="P13" s="14" t="s">
        <v>1274</v>
      </c>
    </row>
    <row r="14" spans="1:16" x14ac:dyDescent="0.3">
      <c r="A14" s="8" t="s">
        <v>623</v>
      </c>
      <c r="B14" s="9" t="s">
        <v>631</v>
      </c>
      <c r="C14" s="10" t="s">
        <v>625</v>
      </c>
      <c r="D14" s="11">
        <v>43910</v>
      </c>
      <c r="E14" s="11">
        <v>43920</v>
      </c>
      <c r="F14" s="31">
        <v>20230000</v>
      </c>
      <c r="G14" s="32">
        <v>0</v>
      </c>
      <c r="H14" s="8" t="s">
        <v>632</v>
      </c>
      <c r="I14" s="12">
        <v>51684220</v>
      </c>
      <c r="J14" s="13" t="s">
        <v>633</v>
      </c>
      <c r="K14" s="14">
        <v>10</v>
      </c>
      <c r="L14" s="15" t="s">
        <v>250</v>
      </c>
      <c r="M14" s="16">
        <v>1700000</v>
      </c>
      <c r="N14" s="16">
        <f t="shared" si="5"/>
        <v>323000</v>
      </c>
      <c r="O14" s="16">
        <f t="shared" si="4"/>
        <v>20230000</v>
      </c>
      <c r="P14" s="14" t="s">
        <v>1274</v>
      </c>
    </row>
    <row r="15" spans="1:16" x14ac:dyDescent="0.3">
      <c r="A15" s="8" t="s">
        <v>623</v>
      </c>
      <c r="B15" s="9" t="s">
        <v>656</v>
      </c>
      <c r="C15" s="10" t="s">
        <v>645</v>
      </c>
      <c r="D15" s="11">
        <v>43973</v>
      </c>
      <c r="E15" s="11">
        <v>43978</v>
      </c>
      <c r="F15" s="31">
        <v>9978900</v>
      </c>
      <c r="G15" s="32">
        <v>0</v>
      </c>
      <c r="H15" s="8" t="s">
        <v>657</v>
      </c>
      <c r="I15" s="12">
        <v>900347045</v>
      </c>
      <c r="J15" s="13" t="s">
        <v>658</v>
      </c>
      <c r="K15" s="14">
        <v>6</v>
      </c>
      <c r="L15" s="15" t="s">
        <v>250</v>
      </c>
      <c r="M15" s="16">
        <v>1085000</v>
      </c>
      <c r="N15" s="16">
        <f>M15*0.19</f>
        <v>206150</v>
      </c>
      <c r="O15" s="16">
        <f t="shared" si="4"/>
        <v>7746900</v>
      </c>
      <c r="P15" s="14" t="s">
        <v>1274</v>
      </c>
    </row>
    <row r="16" spans="1:16" x14ac:dyDescent="0.3">
      <c r="A16" s="8" t="s">
        <v>728</v>
      </c>
      <c r="B16" s="9">
        <v>1627319</v>
      </c>
      <c r="C16" s="10" t="s">
        <v>775</v>
      </c>
      <c r="D16" s="11">
        <v>43993</v>
      </c>
      <c r="E16" s="11">
        <v>43994</v>
      </c>
      <c r="F16" s="31">
        <v>32534320</v>
      </c>
      <c r="G16" s="32">
        <v>0</v>
      </c>
      <c r="H16" s="8" t="s">
        <v>776</v>
      </c>
      <c r="I16" s="12">
        <v>900990752</v>
      </c>
      <c r="J16" s="13" t="s">
        <v>777</v>
      </c>
      <c r="K16" s="14">
        <v>26</v>
      </c>
      <c r="L16" s="15" t="s">
        <v>250</v>
      </c>
      <c r="M16" s="16">
        <v>1251320</v>
      </c>
      <c r="N16" s="16">
        <v>0</v>
      </c>
      <c r="O16" s="16">
        <f t="shared" si="4"/>
        <v>32534320</v>
      </c>
      <c r="P16" s="14" t="s">
        <v>1274</v>
      </c>
    </row>
    <row r="17" spans="1:16" x14ac:dyDescent="0.3">
      <c r="A17" s="8" t="s">
        <v>885</v>
      </c>
      <c r="B17" s="9">
        <v>49646</v>
      </c>
      <c r="C17" s="17" t="s">
        <v>1271</v>
      </c>
      <c r="D17" s="11">
        <v>43984</v>
      </c>
      <c r="E17" s="11">
        <v>43984</v>
      </c>
      <c r="F17" s="31">
        <v>7696200</v>
      </c>
      <c r="G17" s="32">
        <v>0</v>
      </c>
      <c r="H17" s="8" t="s">
        <v>368</v>
      </c>
      <c r="I17" s="12">
        <v>900155107</v>
      </c>
      <c r="J17" s="13" t="s">
        <v>956</v>
      </c>
      <c r="K17" s="14">
        <v>3</v>
      </c>
      <c r="L17" s="15" t="s">
        <v>250</v>
      </c>
      <c r="M17" s="16">
        <v>2565400</v>
      </c>
      <c r="N17" s="16">
        <v>0</v>
      </c>
      <c r="O17" s="16">
        <f t="shared" si="4"/>
        <v>7696200</v>
      </c>
      <c r="P17" s="14" t="s">
        <v>1274</v>
      </c>
    </row>
    <row r="18" spans="1:16" x14ac:dyDescent="0.3">
      <c r="A18" s="8" t="s">
        <v>885</v>
      </c>
      <c r="B18" s="9">
        <v>52480</v>
      </c>
      <c r="C18" s="17" t="s">
        <v>1271</v>
      </c>
      <c r="D18" s="11">
        <v>44035</v>
      </c>
      <c r="E18" s="11">
        <v>44035</v>
      </c>
      <c r="F18" s="31">
        <v>2359000</v>
      </c>
      <c r="G18" s="32">
        <v>0</v>
      </c>
      <c r="H18" s="8" t="s">
        <v>368</v>
      </c>
      <c r="I18" s="12">
        <v>900155107</v>
      </c>
      <c r="J18" s="13" t="s">
        <v>131</v>
      </c>
      <c r="K18" s="14">
        <v>1</v>
      </c>
      <c r="L18" s="15" t="s">
        <v>250</v>
      </c>
      <c r="M18" s="16">
        <v>2359000</v>
      </c>
      <c r="N18" s="16">
        <v>0</v>
      </c>
      <c r="O18" s="16">
        <f t="shared" si="4"/>
        <v>2359000</v>
      </c>
      <c r="P18" s="14" t="s">
        <v>1274</v>
      </c>
    </row>
    <row r="19" spans="1:16" x14ac:dyDescent="0.3">
      <c r="A19" s="8" t="s">
        <v>976</v>
      </c>
      <c r="B19" s="9" t="s">
        <v>1009</v>
      </c>
      <c r="C19" s="10" t="s">
        <v>1010</v>
      </c>
      <c r="D19" s="11">
        <v>44001</v>
      </c>
      <c r="E19" s="11">
        <v>44001</v>
      </c>
      <c r="F19" s="31">
        <v>36300000</v>
      </c>
      <c r="G19" s="32">
        <v>0</v>
      </c>
      <c r="H19" s="8" t="s">
        <v>1011</v>
      </c>
      <c r="I19" s="12">
        <v>92501255</v>
      </c>
      <c r="J19" s="13" t="s">
        <v>1012</v>
      </c>
      <c r="K19" s="14">
        <v>22</v>
      </c>
      <c r="L19" s="15" t="s">
        <v>250</v>
      </c>
      <c r="M19" s="16">
        <v>1650000</v>
      </c>
      <c r="N19" s="16">
        <v>0</v>
      </c>
      <c r="O19" s="16">
        <f t="shared" si="4"/>
        <v>36300000</v>
      </c>
      <c r="P19" s="14" t="s">
        <v>1274</v>
      </c>
    </row>
  </sheetData>
  <dataValidations count="1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4:B4 D4:I4 E5:E10 E13 E15">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5:I7 I9:I10 I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12 A14 A1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5:F10 F13 F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6:B10 B13:B15 B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6:H10 H14:H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6:D10 D13 D15 D18:E18 D19">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8 I13">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1:G1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2:E12 D14:E14 D16:E1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4">
      <formula1>-9223372036854770000</formula1>
      <formula2>9223372036854770000</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976</v>
      </c>
      <c r="B2" s="9" t="s">
        <v>1020</v>
      </c>
      <c r="C2" s="10" t="s">
        <v>1021</v>
      </c>
      <c r="D2" s="11">
        <v>44022</v>
      </c>
      <c r="E2" s="11">
        <v>44025</v>
      </c>
      <c r="F2" s="31">
        <v>140991200</v>
      </c>
      <c r="G2" s="32">
        <v>0</v>
      </c>
      <c r="H2" s="8" t="s">
        <v>1022</v>
      </c>
      <c r="I2" s="12">
        <v>900564459</v>
      </c>
      <c r="J2" s="13" t="s">
        <v>1026</v>
      </c>
      <c r="K2" s="14">
        <v>8</v>
      </c>
      <c r="L2" s="15" t="s">
        <v>250</v>
      </c>
      <c r="M2" s="16">
        <v>800000</v>
      </c>
      <c r="N2" s="16">
        <f t="shared" ref="N2" si="0">M2*0.19</f>
        <v>152000</v>
      </c>
      <c r="O2" s="16">
        <f t="shared" ref="O2" si="1">K2*(M2+N2)</f>
        <v>7616000</v>
      </c>
      <c r="P2" s="14" t="s">
        <v>1027</v>
      </c>
    </row>
  </sheetData>
  <dataValidations count="5">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t="s">
        <v>100</v>
      </c>
      <c r="C2" s="10" t="s">
        <v>101</v>
      </c>
      <c r="D2" s="11">
        <v>43924</v>
      </c>
      <c r="E2" s="11">
        <v>43927</v>
      </c>
      <c r="F2" s="31">
        <v>298166400</v>
      </c>
      <c r="G2" s="32">
        <v>0</v>
      </c>
      <c r="H2" s="8" t="s">
        <v>102</v>
      </c>
      <c r="I2" s="12">
        <v>900594755</v>
      </c>
      <c r="J2" s="13" t="s">
        <v>105</v>
      </c>
      <c r="K2" s="14">
        <v>58</v>
      </c>
      <c r="L2" s="15" t="s">
        <v>250</v>
      </c>
      <c r="M2" s="16">
        <v>1340000</v>
      </c>
      <c r="N2" s="16">
        <f>M2*0.19</f>
        <v>254600</v>
      </c>
      <c r="O2" s="16">
        <f t="shared" ref="O2" si="0">K2*(M2+N2)</f>
        <v>92486800</v>
      </c>
      <c r="P2" s="14" t="s">
        <v>106</v>
      </c>
    </row>
  </sheetData>
  <dataValidations count="7">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I1" workbookViewId="0">
      <selection activeCell="O8" sqref="O8"/>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17</v>
      </c>
      <c r="C2" s="10" t="s">
        <v>18</v>
      </c>
      <c r="D2" s="11">
        <v>43910</v>
      </c>
      <c r="E2" s="11">
        <v>43910</v>
      </c>
      <c r="F2" s="31">
        <v>2573970</v>
      </c>
      <c r="G2" s="32">
        <v>0</v>
      </c>
      <c r="H2" s="8" t="s">
        <v>19</v>
      </c>
      <c r="I2" s="12">
        <v>901095058</v>
      </c>
      <c r="J2" s="13" t="s">
        <v>24</v>
      </c>
      <c r="K2" s="14">
        <v>50</v>
      </c>
      <c r="L2" s="15" t="s">
        <v>250</v>
      </c>
      <c r="M2" s="16">
        <v>10300</v>
      </c>
      <c r="N2" s="16">
        <f t="shared" ref="N2" si="0">M2*0.19</f>
        <v>1957</v>
      </c>
      <c r="O2" s="16">
        <f t="shared" ref="O2:O3" si="1">K2*(M2+N2)</f>
        <v>612850</v>
      </c>
      <c r="P2" s="14" t="s">
        <v>25</v>
      </c>
    </row>
    <row r="3" spans="1:16" x14ac:dyDescent="0.3">
      <c r="A3" s="8" t="s">
        <v>86</v>
      </c>
      <c r="B3" s="9" t="s">
        <v>119</v>
      </c>
      <c r="C3" s="10" t="s">
        <v>120</v>
      </c>
      <c r="D3" s="11">
        <v>43978</v>
      </c>
      <c r="E3" s="11">
        <v>43980</v>
      </c>
      <c r="F3" s="31">
        <v>418175000</v>
      </c>
      <c r="G3" s="32">
        <v>0</v>
      </c>
      <c r="H3" s="8" t="s">
        <v>121</v>
      </c>
      <c r="I3" s="12">
        <v>900053297</v>
      </c>
      <c r="J3" s="13" t="s">
        <v>123</v>
      </c>
      <c r="K3" s="14">
        <v>1000</v>
      </c>
      <c r="L3" s="15" t="s">
        <v>250</v>
      </c>
      <c r="M3" s="16">
        <v>19900</v>
      </c>
      <c r="N3" s="16">
        <v>0</v>
      </c>
      <c r="O3" s="16">
        <f t="shared" si="1"/>
        <v>19900000</v>
      </c>
      <c r="P3" s="14" t="s">
        <v>25</v>
      </c>
    </row>
    <row r="4" spans="1:16" x14ac:dyDescent="0.3">
      <c r="A4" s="8" t="s">
        <v>153</v>
      </c>
      <c r="B4" s="9" t="s">
        <v>154</v>
      </c>
      <c r="C4" s="10" t="s">
        <v>155</v>
      </c>
      <c r="D4" s="11">
        <v>43907</v>
      </c>
      <c r="E4" s="11">
        <v>43908</v>
      </c>
      <c r="F4" s="31">
        <v>25281431</v>
      </c>
      <c r="G4" s="32">
        <v>0</v>
      </c>
      <c r="H4" s="8" t="s">
        <v>19</v>
      </c>
      <c r="I4" s="12">
        <v>901095058</v>
      </c>
      <c r="J4" s="13" t="s">
        <v>157</v>
      </c>
      <c r="K4" s="14">
        <v>70</v>
      </c>
      <c r="L4" s="15" t="s">
        <v>250</v>
      </c>
      <c r="M4" s="16">
        <v>7000</v>
      </c>
      <c r="N4" s="16">
        <f>M4*0.19</f>
        <v>1330</v>
      </c>
      <c r="O4" s="16">
        <f>K4*(M4+N4)</f>
        <v>583100</v>
      </c>
      <c r="P4" s="14" t="s">
        <v>25</v>
      </c>
    </row>
    <row r="5" spans="1:16" x14ac:dyDescent="0.3">
      <c r="A5" s="8" t="s">
        <v>693</v>
      </c>
      <c r="B5" s="9" t="s">
        <v>707</v>
      </c>
      <c r="C5" s="10" t="s">
        <v>708</v>
      </c>
      <c r="D5" s="11">
        <v>43949</v>
      </c>
      <c r="E5" s="11">
        <v>43949</v>
      </c>
      <c r="F5" s="31">
        <v>2832200</v>
      </c>
      <c r="G5" s="32">
        <v>0</v>
      </c>
      <c r="H5" s="8" t="s">
        <v>709</v>
      </c>
      <c r="I5" s="12">
        <v>830037946</v>
      </c>
      <c r="J5" s="13" t="s">
        <v>710</v>
      </c>
      <c r="K5" s="14">
        <v>200</v>
      </c>
      <c r="L5" s="15" t="s">
        <v>250</v>
      </c>
      <c r="M5" s="16">
        <v>14161</v>
      </c>
      <c r="N5" s="16">
        <v>0</v>
      </c>
      <c r="O5" s="16">
        <f t="shared" ref="O5:O8" si="2">K5*(M5+N5)</f>
        <v>2832200</v>
      </c>
      <c r="P5" s="14" t="s">
        <v>25</v>
      </c>
    </row>
    <row r="6" spans="1:16" x14ac:dyDescent="0.3">
      <c r="A6" s="8" t="s">
        <v>728</v>
      </c>
      <c r="B6" s="9">
        <v>1483604</v>
      </c>
      <c r="C6" s="10" t="s">
        <v>729</v>
      </c>
      <c r="D6" s="11">
        <v>43922</v>
      </c>
      <c r="E6" s="11">
        <v>43923</v>
      </c>
      <c r="F6" s="31">
        <v>36816642</v>
      </c>
      <c r="G6" s="32">
        <v>0</v>
      </c>
      <c r="H6" s="8" t="s">
        <v>730</v>
      </c>
      <c r="I6" s="12">
        <v>860054854</v>
      </c>
      <c r="J6" s="13" t="s">
        <v>731</v>
      </c>
      <c r="K6" s="14">
        <v>22</v>
      </c>
      <c r="L6" s="15" t="s">
        <v>250</v>
      </c>
      <c r="M6" s="16">
        <v>36236</v>
      </c>
      <c r="N6" s="16">
        <v>0</v>
      </c>
      <c r="O6" s="16">
        <f t="shared" si="2"/>
        <v>797192</v>
      </c>
      <c r="P6" s="14" t="s">
        <v>25</v>
      </c>
    </row>
    <row r="7" spans="1:16" x14ac:dyDescent="0.3">
      <c r="A7" s="8" t="s">
        <v>885</v>
      </c>
      <c r="B7" s="9">
        <v>49645</v>
      </c>
      <c r="C7" s="17" t="s">
        <v>1270</v>
      </c>
      <c r="D7" s="11">
        <v>43984</v>
      </c>
      <c r="E7" s="11">
        <v>43984</v>
      </c>
      <c r="F7" s="31">
        <v>8195650</v>
      </c>
      <c r="G7" s="32">
        <v>0</v>
      </c>
      <c r="H7" s="8" t="s">
        <v>368</v>
      </c>
      <c r="I7" s="12">
        <v>900155107</v>
      </c>
      <c r="J7" s="13" t="s">
        <v>25</v>
      </c>
      <c r="K7" s="14">
        <v>950</v>
      </c>
      <c r="L7" s="15" t="s">
        <v>250</v>
      </c>
      <c r="M7" s="16">
        <v>8627</v>
      </c>
      <c r="N7" s="16">
        <v>0</v>
      </c>
      <c r="O7" s="16">
        <f t="shared" si="2"/>
        <v>8195650</v>
      </c>
      <c r="P7" s="19" t="s">
        <v>25</v>
      </c>
    </row>
    <row r="8" spans="1:16" x14ac:dyDescent="0.3">
      <c r="A8" s="8" t="s">
        <v>959</v>
      </c>
      <c r="B8" s="9">
        <v>35</v>
      </c>
      <c r="C8" s="10" t="s">
        <v>960</v>
      </c>
      <c r="D8" s="11">
        <v>43477</v>
      </c>
      <c r="E8" s="11">
        <v>43800</v>
      </c>
      <c r="F8" s="31">
        <v>0</v>
      </c>
      <c r="G8" s="32">
        <v>67434392</v>
      </c>
      <c r="H8" s="8" t="s">
        <v>961</v>
      </c>
      <c r="I8" s="12">
        <v>811044253</v>
      </c>
      <c r="J8" s="13" t="s">
        <v>967</v>
      </c>
      <c r="K8" s="14">
        <v>250</v>
      </c>
      <c r="L8" s="15" t="s">
        <v>250</v>
      </c>
      <c r="M8" s="16">
        <v>6300</v>
      </c>
      <c r="N8" s="16">
        <v>0</v>
      </c>
      <c r="O8" s="16">
        <f t="shared" si="2"/>
        <v>1575000</v>
      </c>
      <c r="P8" s="14" t="s">
        <v>25</v>
      </c>
    </row>
  </sheetData>
  <dataValidations count="8">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4">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I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F4 F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4">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 D7:E7">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5:E6 D8:E8">
      <formula1>1900/1/1</formula1>
      <formula2>3000/1/1</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544</v>
      </c>
      <c r="B2" s="9" t="s">
        <v>545</v>
      </c>
      <c r="C2" s="10" t="s">
        <v>546</v>
      </c>
      <c r="D2" s="11" t="s">
        <v>547</v>
      </c>
      <c r="E2" s="11" t="s">
        <v>547</v>
      </c>
      <c r="F2" s="31">
        <v>21078782</v>
      </c>
      <c r="G2" s="32">
        <v>0</v>
      </c>
      <c r="H2" s="8" t="s">
        <v>548</v>
      </c>
      <c r="I2" s="12">
        <v>900406714</v>
      </c>
      <c r="J2" s="13" t="s">
        <v>559</v>
      </c>
      <c r="K2" s="14">
        <f>48*50</f>
        <v>2400</v>
      </c>
      <c r="L2" s="15" t="s">
        <v>250</v>
      </c>
      <c r="M2" s="16">
        <v>578.22</v>
      </c>
      <c r="N2" s="16">
        <f t="shared" ref="N2" si="0">M2*0.19</f>
        <v>109.8618</v>
      </c>
      <c r="O2" s="16">
        <f t="shared" ref="O2" si="1">K2*(M2+N2)</f>
        <v>1651396.32</v>
      </c>
      <c r="P2" s="14" t="s">
        <v>560</v>
      </c>
    </row>
  </sheetData>
  <dataValidations count="7">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1" workbookViewId="0">
      <selection activeCell="O5" sqref="O5"/>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1289</v>
      </c>
      <c r="B2" s="9" t="s">
        <v>612</v>
      </c>
      <c r="C2" s="17" t="s">
        <v>1298</v>
      </c>
      <c r="D2" s="11">
        <v>43945</v>
      </c>
      <c r="E2" s="11">
        <v>43945</v>
      </c>
      <c r="F2" s="31">
        <v>5103664</v>
      </c>
      <c r="G2" s="32">
        <v>0</v>
      </c>
      <c r="H2" s="8" t="s">
        <v>1299</v>
      </c>
      <c r="I2" s="12">
        <v>900843992</v>
      </c>
      <c r="J2" s="13" t="s">
        <v>1300</v>
      </c>
      <c r="K2" s="14">
        <v>1</v>
      </c>
      <c r="L2" s="18" t="s">
        <v>783</v>
      </c>
      <c r="M2" s="16">
        <v>4288793</v>
      </c>
      <c r="N2" s="16">
        <f t="shared" ref="N2" si="0">M2*0.19</f>
        <v>814870.67</v>
      </c>
      <c r="O2" s="16">
        <f t="shared" ref="O2" si="1">K2*(M2+N2)</f>
        <v>5103663.67</v>
      </c>
      <c r="P2" s="14" t="s">
        <v>1402</v>
      </c>
    </row>
    <row r="3" spans="1:16" x14ac:dyDescent="0.3">
      <c r="A3" s="8" t="s">
        <v>544</v>
      </c>
      <c r="B3" s="9" t="s">
        <v>605</v>
      </c>
      <c r="C3" s="10" t="s">
        <v>606</v>
      </c>
      <c r="D3" s="11">
        <v>43977</v>
      </c>
      <c r="E3" s="11">
        <v>43977</v>
      </c>
      <c r="F3" s="31">
        <v>30414385</v>
      </c>
      <c r="G3" s="32">
        <v>0</v>
      </c>
      <c r="H3" s="8" t="s">
        <v>607</v>
      </c>
      <c r="I3" s="12">
        <v>78761321</v>
      </c>
      <c r="J3" s="13" t="s">
        <v>606</v>
      </c>
      <c r="K3" s="14">
        <v>1</v>
      </c>
      <c r="L3" s="15" t="s">
        <v>608</v>
      </c>
      <c r="M3" s="16">
        <v>30188750</v>
      </c>
      <c r="N3" s="16">
        <v>225635</v>
      </c>
      <c r="O3" s="16">
        <f t="shared" ref="O3:O5" si="2">K3*(M3+N3)</f>
        <v>30414385</v>
      </c>
      <c r="P3" s="14" t="s">
        <v>1402</v>
      </c>
    </row>
    <row r="4" spans="1:16" x14ac:dyDescent="0.3">
      <c r="A4" s="8" t="s">
        <v>728</v>
      </c>
      <c r="B4" s="9">
        <v>1619602</v>
      </c>
      <c r="C4" s="10" t="s">
        <v>768</v>
      </c>
      <c r="D4" s="11">
        <v>43990</v>
      </c>
      <c r="E4" s="11">
        <v>43992</v>
      </c>
      <c r="F4" s="31">
        <v>57691400</v>
      </c>
      <c r="G4" s="32">
        <v>0</v>
      </c>
      <c r="H4" s="8" t="s">
        <v>769</v>
      </c>
      <c r="I4" s="12">
        <v>830014921</v>
      </c>
      <c r="J4" s="13" t="s">
        <v>774</v>
      </c>
      <c r="K4" s="14">
        <v>10</v>
      </c>
      <c r="L4" s="15" t="s">
        <v>250</v>
      </c>
      <c r="M4" s="16">
        <v>87000</v>
      </c>
      <c r="N4" s="16">
        <v>0</v>
      </c>
      <c r="O4" s="16">
        <f t="shared" si="2"/>
        <v>870000</v>
      </c>
      <c r="P4" s="14" t="s">
        <v>1402</v>
      </c>
    </row>
    <row r="5" spans="1:16" x14ac:dyDescent="0.3">
      <c r="A5" s="8" t="s">
        <v>885</v>
      </c>
      <c r="B5" s="9" t="s">
        <v>940</v>
      </c>
      <c r="C5" s="17" t="s">
        <v>941</v>
      </c>
      <c r="D5" s="11">
        <v>43971</v>
      </c>
      <c r="E5" s="11">
        <v>43945</v>
      </c>
      <c r="F5" s="31">
        <v>4086300</v>
      </c>
      <c r="G5" s="32">
        <v>0</v>
      </c>
      <c r="H5" s="8" t="s">
        <v>942</v>
      </c>
      <c r="I5" s="12">
        <v>76264578</v>
      </c>
      <c r="J5" s="13" t="s">
        <v>943</v>
      </c>
      <c r="K5" s="14">
        <v>1</v>
      </c>
      <c r="L5" s="15" t="s">
        <v>250</v>
      </c>
      <c r="M5" s="16">
        <v>4086300</v>
      </c>
      <c r="N5" s="16">
        <v>0</v>
      </c>
      <c r="O5" s="16">
        <f t="shared" si="2"/>
        <v>4086300</v>
      </c>
      <c r="P5" s="14" t="s">
        <v>1402</v>
      </c>
    </row>
  </sheetData>
  <dataValidations disablePrompts="1" count="6">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2 D2:I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3:E4">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E5">
      <formula1>1900/1/1</formula1>
      <formula2>3000/1/1</formula2>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O3" sqref="O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t="s">
        <v>90</v>
      </c>
      <c r="C2" s="10" t="s">
        <v>91</v>
      </c>
      <c r="D2" s="11">
        <v>43916</v>
      </c>
      <c r="E2" s="11">
        <v>43920</v>
      </c>
      <c r="F2" s="31">
        <v>219927500</v>
      </c>
      <c r="G2" s="32">
        <v>0</v>
      </c>
      <c r="H2" s="8" t="s">
        <v>92</v>
      </c>
      <c r="I2" s="12">
        <v>900521780</v>
      </c>
      <c r="J2" s="13" t="s">
        <v>97</v>
      </c>
      <c r="K2" s="14">
        <v>2050</v>
      </c>
      <c r="L2" s="15" t="s">
        <v>1370</v>
      </c>
      <c r="M2" s="16">
        <v>1300</v>
      </c>
      <c r="N2" s="16">
        <v>0</v>
      </c>
      <c r="O2" s="16">
        <f t="shared" ref="O2" si="0">K2*(M2+N2)</f>
        <v>2665000</v>
      </c>
      <c r="P2" s="14" t="s">
        <v>98</v>
      </c>
    </row>
    <row r="3" spans="1:16" x14ac:dyDescent="0.3">
      <c r="A3" s="8" t="s">
        <v>544</v>
      </c>
      <c r="B3" s="9" t="s">
        <v>545</v>
      </c>
      <c r="C3" s="10" t="s">
        <v>546</v>
      </c>
      <c r="D3" s="11" t="s">
        <v>547</v>
      </c>
      <c r="E3" s="11" t="s">
        <v>547</v>
      </c>
      <c r="F3" s="31">
        <v>21078782</v>
      </c>
      <c r="G3" s="32">
        <v>0</v>
      </c>
      <c r="H3" s="8" t="s">
        <v>548</v>
      </c>
      <c r="I3" s="12">
        <v>900406714</v>
      </c>
      <c r="J3" s="13" t="s">
        <v>555</v>
      </c>
      <c r="K3" s="14">
        <f>100*12</f>
        <v>1200</v>
      </c>
      <c r="L3" s="15" t="s">
        <v>556</v>
      </c>
      <c r="M3" s="16">
        <v>1284.4166666666667</v>
      </c>
      <c r="N3" s="16">
        <f t="shared" ref="N3" si="1">M3*0.19</f>
        <v>244.03916666666669</v>
      </c>
      <c r="O3" s="16">
        <f t="shared" ref="O3" si="2">K3*(M3+N3)</f>
        <v>1834147</v>
      </c>
      <c r="P3" s="14" t="s">
        <v>98</v>
      </c>
    </row>
  </sheetData>
  <dataValidations count="7">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E2 E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formula1>1900/1/1</formula1>
      <formula2>3000/1/1</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976</v>
      </c>
      <c r="B2" s="9" t="s">
        <v>1020</v>
      </c>
      <c r="C2" s="10" t="s">
        <v>1021</v>
      </c>
      <c r="D2" s="11">
        <v>44022</v>
      </c>
      <c r="E2" s="11">
        <v>44025</v>
      </c>
      <c r="F2" s="31">
        <v>140991200</v>
      </c>
      <c r="G2" s="32">
        <v>0</v>
      </c>
      <c r="H2" s="8" t="s">
        <v>1022</v>
      </c>
      <c r="I2" s="12">
        <v>900564459</v>
      </c>
      <c r="J2" s="13" t="s">
        <v>1024</v>
      </c>
      <c r="K2" s="14">
        <v>300</v>
      </c>
      <c r="L2" s="15" t="s">
        <v>1250</v>
      </c>
      <c r="M2" s="16">
        <v>43600</v>
      </c>
      <c r="N2" s="16">
        <f t="shared" ref="N2" si="0">M2*0.19</f>
        <v>8284</v>
      </c>
      <c r="O2" s="16">
        <f t="shared" ref="O2" si="1">K2*(M2+N2)</f>
        <v>15565200</v>
      </c>
      <c r="P2" s="14" t="s">
        <v>1025</v>
      </c>
    </row>
    <row r="3" spans="1:16" x14ac:dyDescent="0.3">
      <c r="F3" s="30"/>
      <c r="G3" s="30"/>
      <c r="K3" s="25"/>
      <c r="M3" s="26"/>
      <c r="N3" s="26"/>
      <c r="O3" s="26"/>
    </row>
  </sheetData>
  <dataValidations count="5">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1" workbookViewId="0">
      <selection activeCell="O5" sqref="O5"/>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153</v>
      </c>
      <c r="B2" s="9" t="s">
        <v>198</v>
      </c>
      <c r="C2" s="10" t="s">
        <v>199</v>
      </c>
      <c r="D2" s="11">
        <v>43963</v>
      </c>
      <c r="E2" s="11">
        <v>43963</v>
      </c>
      <c r="F2" s="31">
        <v>1142400</v>
      </c>
      <c r="G2" s="32">
        <v>0</v>
      </c>
      <c r="H2" s="8" t="s">
        <v>200</v>
      </c>
      <c r="I2" s="12">
        <v>830037946</v>
      </c>
      <c r="J2" s="13" t="s">
        <v>201</v>
      </c>
      <c r="K2" s="14">
        <v>100</v>
      </c>
      <c r="L2" s="15" t="s">
        <v>250</v>
      </c>
      <c r="M2" s="16">
        <v>9600</v>
      </c>
      <c r="N2" s="16">
        <f>M2*0.19</f>
        <v>1824</v>
      </c>
      <c r="O2" s="16">
        <f>K2*(M2+N2)</f>
        <v>1142400</v>
      </c>
      <c r="P2" s="14" t="s">
        <v>202</v>
      </c>
    </row>
    <row r="3" spans="1:16" x14ac:dyDescent="0.3">
      <c r="A3" s="8" t="s">
        <v>490</v>
      </c>
      <c r="B3" s="9" t="s">
        <v>499</v>
      </c>
      <c r="C3" s="10" t="s">
        <v>500</v>
      </c>
      <c r="D3" s="11">
        <v>43958</v>
      </c>
      <c r="E3" s="11">
        <v>43962</v>
      </c>
      <c r="F3" s="31">
        <v>0</v>
      </c>
      <c r="G3" s="32">
        <v>11965845</v>
      </c>
      <c r="H3" s="8" t="s">
        <v>501</v>
      </c>
      <c r="I3" s="12">
        <v>800147520</v>
      </c>
      <c r="J3" s="13" t="s">
        <v>503</v>
      </c>
      <c r="K3" s="14">
        <v>317</v>
      </c>
      <c r="L3" s="15" t="s">
        <v>250</v>
      </c>
      <c r="M3" s="16">
        <v>1500</v>
      </c>
      <c r="N3" s="16">
        <f>M3*0.19</f>
        <v>285</v>
      </c>
      <c r="O3" s="16">
        <f>K3*(M3+N3)</f>
        <v>565845</v>
      </c>
      <c r="P3" s="14" t="s">
        <v>202</v>
      </c>
    </row>
    <row r="4" spans="1:16" x14ac:dyDescent="0.3">
      <c r="A4" s="8" t="s">
        <v>490</v>
      </c>
      <c r="B4" s="9" t="s">
        <v>499</v>
      </c>
      <c r="C4" s="10" t="s">
        <v>500</v>
      </c>
      <c r="D4" s="11">
        <v>43958</v>
      </c>
      <c r="E4" s="11">
        <v>43962</v>
      </c>
      <c r="F4" s="31">
        <v>3898952</v>
      </c>
      <c r="G4" s="32">
        <v>0</v>
      </c>
      <c r="H4" s="8" t="s">
        <v>501</v>
      </c>
      <c r="I4" s="12">
        <v>800147520</v>
      </c>
      <c r="J4" s="13" t="s">
        <v>503</v>
      </c>
      <c r="K4" s="14">
        <v>158</v>
      </c>
      <c r="L4" s="15" t="s">
        <v>250</v>
      </c>
      <c r="M4" s="16">
        <v>1590</v>
      </c>
      <c r="N4" s="16">
        <f>M4*0.19</f>
        <v>302.10000000000002</v>
      </c>
      <c r="O4" s="16">
        <f>K4*(M4+N4)</f>
        <v>298951.8</v>
      </c>
      <c r="P4" s="14" t="s">
        <v>202</v>
      </c>
    </row>
    <row r="5" spans="1:16" x14ac:dyDescent="0.3">
      <c r="A5" s="8" t="s">
        <v>1055</v>
      </c>
      <c r="B5" s="9" t="s">
        <v>1074</v>
      </c>
      <c r="C5" s="10" t="s">
        <v>1075</v>
      </c>
      <c r="D5" s="11">
        <v>43972</v>
      </c>
      <c r="E5" s="11">
        <v>43972</v>
      </c>
      <c r="F5" s="31">
        <v>9028390</v>
      </c>
      <c r="G5" s="32">
        <v>0</v>
      </c>
      <c r="H5" s="8" t="s">
        <v>1076</v>
      </c>
      <c r="I5" s="12">
        <v>900676378</v>
      </c>
      <c r="J5" s="13" t="s">
        <v>1078</v>
      </c>
      <c r="K5" s="14">
        <v>14</v>
      </c>
      <c r="L5" s="15" t="s">
        <v>250</v>
      </c>
      <c r="M5" s="16">
        <f>61285/1.19</f>
        <v>51500</v>
      </c>
      <c r="N5" s="16">
        <f>M5*0.19</f>
        <v>9785</v>
      </c>
      <c r="O5" s="16">
        <f t="shared" ref="O5" si="0">K5*(M5+N5)</f>
        <v>857990</v>
      </c>
      <c r="P5" s="14" t="s">
        <v>202</v>
      </c>
    </row>
  </sheetData>
  <dataValidations count="10">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2:E2">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I4">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D4:E5">
      <formula1>1900/1/1</formula1>
      <formula2>3000/1/1</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1" workbookViewId="0">
      <selection activeCell="J2" sqref="J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t="s">
        <v>107</v>
      </c>
      <c r="C2" s="10" t="s">
        <v>108</v>
      </c>
      <c r="D2" s="11">
        <v>43948</v>
      </c>
      <c r="E2" s="11">
        <v>43950</v>
      </c>
      <c r="F2" s="31">
        <v>7000000</v>
      </c>
      <c r="G2" s="32">
        <v>0</v>
      </c>
      <c r="H2" s="8" t="s">
        <v>109</v>
      </c>
      <c r="I2" s="12">
        <v>1024582398</v>
      </c>
      <c r="J2" s="13" t="s">
        <v>1494</v>
      </c>
      <c r="K2" s="14">
        <v>1</v>
      </c>
      <c r="L2" s="15" t="s">
        <v>1281</v>
      </c>
      <c r="M2" s="16">
        <v>3500000</v>
      </c>
      <c r="N2" s="16">
        <v>0</v>
      </c>
      <c r="O2" s="16">
        <f>K2*(M2+N2)*2</f>
        <v>7000000</v>
      </c>
      <c r="P2" s="19" t="s">
        <v>1385</v>
      </c>
    </row>
    <row r="3" spans="1:16" x14ac:dyDescent="0.3">
      <c r="A3" s="8" t="s">
        <v>86</v>
      </c>
      <c r="B3" s="9" t="s">
        <v>110</v>
      </c>
      <c r="C3" s="10" t="s">
        <v>108</v>
      </c>
      <c r="D3" s="11">
        <v>43948</v>
      </c>
      <c r="E3" s="11">
        <v>43950</v>
      </c>
      <c r="F3" s="31">
        <v>7000000</v>
      </c>
      <c r="G3" s="32">
        <v>0</v>
      </c>
      <c r="H3" s="8" t="s">
        <v>111</v>
      </c>
      <c r="I3" s="12">
        <v>80004109</v>
      </c>
      <c r="J3" s="13" t="s">
        <v>1494</v>
      </c>
      <c r="K3" s="14">
        <v>1</v>
      </c>
      <c r="L3" s="15" t="s">
        <v>1281</v>
      </c>
      <c r="M3" s="16">
        <v>3500000</v>
      </c>
      <c r="N3" s="16">
        <v>0</v>
      </c>
      <c r="O3" s="16">
        <f t="shared" ref="O3:O5" si="0">K3*(M3+N3)*2</f>
        <v>7000000</v>
      </c>
      <c r="P3" s="19" t="s">
        <v>1385</v>
      </c>
    </row>
    <row r="4" spans="1:16" x14ac:dyDescent="0.3">
      <c r="A4" s="8" t="s">
        <v>86</v>
      </c>
      <c r="B4" s="9" t="s">
        <v>112</v>
      </c>
      <c r="C4" s="10" t="s">
        <v>108</v>
      </c>
      <c r="D4" s="11">
        <v>43948</v>
      </c>
      <c r="E4" s="11">
        <v>43950</v>
      </c>
      <c r="F4" s="31">
        <v>7000000</v>
      </c>
      <c r="G4" s="32">
        <v>0</v>
      </c>
      <c r="H4" s="8" t="s">
        <v>113</v>
      </c>
      <c r="I4" s="12">
        <v>79961756</v>
      </c>
      <c r="J4" s="13" t="s">
        <v>1494</v>
      </c>
      <c r="K4" s="14">
        <v>1</v>
      </c>
      <c r="L4" s="15" t="s">
        <v>1281</v>
      </c>
      <c r="M4" s="16">
        <v>3500000</v>
      </c>
      <c r="N4" s="16">
        <v>0</v>
      </c>
      <c r="O4" s="16">
        <f t="shared" si="0"/>
        <v>7000000</v>
      </c>
      <c r="P4" s="19" t="s">
        <v>1385</v>
      </c>
    </row>
    <row r="5" spans="1:16" x14ac:dyDescent="0.3">
      <c r="A5" s="8" t="s">
        <v>86</v>
      </c>
      <c r="B5" s="9" t="s">
        <v>114</v>
      </c>
      <c r="C5" s="10" t="s">
        <v>108</v>
      </c>
      <c r="D5" s="11">
        <v>43949</v>
      </c>
      <c r="E5" s="11">
        <v>43950</v>
      </c>
      <c r="F5" s="31">
        <v>7000000</v>
      </c>
      <c r="G5" s="32">
        <v>0</v>
      </c>
      <c r="H5" s="8" t="s">
        <v>115</v>
      </c>
      <c r="I5" s="12">
        <v>80261176</v>
      </c>
      <c r="J5" s="13" t="s">
        <v>1494</v>
      </c>
      <c r="K5" s="14">
        <v>1</v>
      </c>
      <c r="L5" s="15" t="s">
        <v>1281</v>
      </c>
      <c r="M5" s="16">
        <v>3500000</v>
      </c>
      <c r="N5" s="16">
        <v>0</v>
      </c>
      <c r="O5" s="16">
        <f t="shared" si="0"/>
        <v>7000000</v>
      </c>
      <c r="P5" s="19" t="s">
        <v>1385</v>
      </c>
    </row>
  </sheetData>
  <dataValidations count="7">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I5">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5">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5">
      <formula1>1900/1/1</formula1>
      <formula2>3000/1/1</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J1" workbookViewId="0">
      <selection activeCell="O1" sqref="O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v>52560</v>
      </c>
      <c r="C2" s="10" t="s">
        <v>148</v>
      </c>
      <c r="D2" s="11">
        <v>44036</v>
      </c>
      <c r="E2" s="11">
        <v>44036</v>
      </c>
      <c r="F2" s="31">
        <v>18420129</v>
      </c>
      <c r="G2" s="32">
        <v>0</v>
      </c>
      <c r="H2" s="8" t="s">
        <v>149</v>
      </c>
      <c r="I2" s="12">
        <v>830037946</v>
      </c>
      <c r="J2" s="13" t="s">
        <v>1391</v>
      </c>
      <c r="K2" s="14">
        <v>117</v>
      </c>
      <c r="L2" s="15" t="s">
        <v>1392</v>
      </c>
      <c r="M2" s="16">
        <v>157437</v>
      </c>
      <c r="N2" s="16">
        <v>0</v>
      </c>
      <c r="O2" s="16">
        <f t="shared" ref="O2:O26" si="0">K2*(M2+N2)</f>
        <v>18420129</v>
      </c>
      <c r="P2" s="14" t="s">
        <v>237</v>
      </c>
    </row>
    <row r="3" spans="1:16" x14ac:dyDescent="0.3">
      <c r="A3" s="8" t="s">
        <v>153</v>
      </c>
      <c r="B3" s="9" t="s">
        <v>233</v>
      </c>
      <c r="C3" s="10" t="s">
        <v>234</v>
      </c>
      <c r="D3" s="11">
        <v>43994</v>
      </c>
      <c r="E3" s="11">
        <v>44001</v>
      </c>
      <c r="F3" s="31">
        <v>4235200</v>
      </c>
      <c r="G3" s="32">
        <v>0</v>
      </c>
      <c r="H3" s="8" t="s">
        <v>235</v>
      </c>
      <c r="I3" s="12">
        <v>138486039</v>
      </c>
      <c r="J3" s="13" t="s">
        <v>236</v>
      </c>
      <c r="K3" s="14">
        <v>104</v>
      </c>
      <c r="L3" s="15" t="s">
        <v>250</v>
      </c>
      <c r="M3" s="16">
        <f>22000/1.19</f>
        <v>18487.394957983193</v>
      </c>
      <c r="N3" s="16">
        <f>M3*19%</f>
        <v>3512.6050420168067</v>
      </c>
      <c r="O3" s="16">
        <f t="shared" si="0"/>
        <v>2288000</v>
      </c>
      <c r="P3" s="14" t="s">
        <v>237</v>
      </c>
    </row>
    <row r="4" spans="1:16" x14ac:dyDescent="0.3">
      <c r="A4" s="8" t="s">
        <v>153</v>
      </c>
      <c r="B4" s="9" t="s">
        <v>233</v>
      </c>
      <c r="C4" s="10" t="s">
        <v>234</v>
      </c>
      <c r="D4" s="11">
        <v>43994</v>
      </c>
      <c r="E4" s="11">
        <v>44001</v>
      </c>
      <c r="F4" s="31">
        <v>4235200</v>
      </c>
      <c r="G4" s="32">
        <v>0</v>
      </c>
      <c r="H4" s="8" t="s">
        <v>235</v>
      </c>
      <c r="I4" s="12">
        <v>138486039</v>
      </c>
      <c r="J4" s="13" t="s">
        <v>238</v>
      </c>
      <c r="K4" s="14">
        <v>108</v>
      </c>
      <c r="L4" s="15" t="s">
        <v>250</v>
      </c>
      <c r="M4" s="16">
        <f>3200/1.19</f>
        <v>2689.0756302521008</v>
      </c>
      <c r="N4" s="16">
        <f>M4*19%</f>
        <v>510.92436974789916</v>
      </c>
      <c r="O4" s="16">
        <f t="shared" si="0"/>
        <v>345600</v>
      </c>
      <c r="P4" s="14" t="s">
        <v>237</v>
      </c>
    </row>
    <row r="5" spans="1:16" ht="15.6" x14ac:dyDescent="0.3">
      <c r="A5" s="8" t="s">
        <v>153</v>
      </c>
      <c r="B5" s="9" t="s">
        <v>233</v>
      </c>
      <c r="C5" s="10" t="s">
        <v>234</v>
      </c>
      <c r="D5" s="11">
        <v>43994</v>
      </c>
      <c r="E5" s="11">
        <v>44001</v>
      </c>
      <c r="F5" s="31">
        <v>4235200</v>
      </c>
      <c r="G5" s="32">
        <v>0</v>
      </c>
      <c r="H5" s="8" t="s">
        <v>235</v>
      </c>
      <c r="I5" s="12">
        <v>138486039</v>
      </c>
      <c r="J5" s="13" t="s">
        <v>239</v>
      </c>
      <c r="K5" s="14">
        <v>572</v>
      </c>
      <c r="L5" s="15" t="s">
        <v>250</v>
      </c>
      <c r="M5" s="16">
        <f>2800/1.19</f>
        <v>2352.9411764705883</v>
      </c>
      <c r="N5" s="16">
        <f>M5*19%</f>
        <v>447.05882352941177</v>
      </c>
      <c r="O5" s="16">
        <f t="shared" si="0"/>
        <v>1601600</v>
      </c>
      <c r="P5" s="14" t="s">
        <v>237</v>
      </c>
    </row>
    <row r="6" spans="1:16" x14ac:dyDescent="0.3">
      <c r="A6" s="8" t="s">
        <v>490</v>
      </c>
      <c r="B6" s="9" t="s">
        <v>508</v>
      </c>
      <c r="C6" s="10" t="s">
        <v>509</v>
      </c>
      <c r="D6" s="11">
        <v>43994</v>
      </c>
      <c r="E6" s="11">
        <v>43998</v>
      </c>
      <c r="F6" s="31">
        <v>24617210</v>
      </c>
      <c r="G6" s="32">
        <v>0</v>
      </c>
      <c r="H6" s="8" t="s">
        <v>510</v>
      </c>
      <c r="I6" s="12">
        <v>811036638</v>
      </c>
      <c r="J6" s="13" t="s">
        <v>511</v>
      </c>
      <c r="K6" s="14">
        <v>330</v>
      </c>
      <c r="L6" s="15" t="s">
        <v>250</v>
      </c>
      <c r="M6" s="16">
        <v>7022</v>
      </c>
      <c r="N6" s="16">
        <f t="shared" ref="N6:N16" si="1">M6*0.19</f>
        <v>1334.18</v>
      </c>
      <c r="O6" s="16">
        <f t="shared" si="0"/>
        <v>2757539.4</v>
      </c>
      <c r="P6" s="14" t="s">
        <v>237</v>
      </c>
    </row>
    <row r="7" spans="1:16" x14ac:dyDescent="0.3">
      <c r="A7" s="8" t="s">
        <v>490</v>
      </c>
      <c r="B7" s="9" t="s">
        <v>508</v>
      </c>
      <c r="C7" s="10" t="s">
        <v>509</v>
      </c>
      <c r="D7" s="11">
        <v>43994</v>
      </c>
      <c r="E7" s="11">
        <v>43998</v>
      </c>
      <c r="F7" s="31">
        <v>24617210</v>
      </c>
      <c r="G7" s="32">
        <v>0</v>
      </c>
      <c r="H7" s="8" t="s">
        <v>510</v>
      </c>
      <c r="I7" s="12">
        <v>811036638</v>
      </c>
      <c r="J7" s="13" t="s">
        <v>512</v>
      </c>
      <c r="K7" s="14">
        <v>330</v>
      </c>
      <c r="L7" s="15" t="s">
        <v>250</v>
      </c>
      <c r="M7" s="16">
        <v>3634</v>
      </c>
      <c r="N7" s="16">
        <f t="shared" si="1"/>
        <v>690.46</v>
      </c>
      <c r="O7" s="16">
        <f t="shared" si="0"/>
        <v>1427071.8</v>
      </c>
      <c r="P7" s="14" t="s">
        <v>237</v>
      </c>
    </row>
    <row r="8" spans="1:16" x14ac:dyDescent="0.3">
      <c r="A8" s="8" t="s">
        <v>490</v>
      </c>
      <c r="B8" s="9" t="s">
        <v>508</v>
      </c>
      <c r="C8" s="10" t="s">
        <v>509</v>
      </c>
      <c r="D8" s="11">
        <v>43994</v>
      </c>
      <c r="E8" s="11">
        <v>43998</v>
      </c>
      <c r="F8" s="31">
        <v>24617210</v>
      </c>
      <c r="G8" s="32">
        <v>0</v>
      </c>
      <c r="H8" s="8" t="s">
        <v>510</v>
      </c>
      <c r="I8" s="12">
        <v>811036638</v>
      </c>
      <c r="J8" s="13" t="s">
        <v>513</v>
      </c>
      <c r="K8" s="14">
        <v>320</v>
      </c>
      <c r="L8" s="15" t="s">
        <v>250</v>
      </c>
      <c r="M8" s="16">
        <v>3634</v>
      </c>
      <c r="N8" s="16">
        <f t="shared" si="1"/>
        <v>690.46</v>
      </c>
      <c r="O8" s="16">
        <f t="shared" si="0"/>
        <v>1383827.2</v>
      </c>
      <c r="P8" s="14" t="s">
        <v>237</v>
      </c>
    </row>
    <row r="9" spans="1:16" x14ac:dyDescent="0.3">
      <c r="A9" s="8" t="s">
        <v>490</v>
      </c>
      <c r="B9" s="9" t="s">
        <v>508</v>
      </c>
      <c r="C9" s="10" t="s">
        <v>509</v>
      </c>
      <c r="D9" s="11">
        <v>43994</v>
      </c>
      <c r="E9" s="11">
        <v>43998</v>
      </c>
      <c r="F9" s="31">
        <v>24617210</v>
      </c>
      <c r="G9" s="32">
        <v>0</v>
      </c>
      <c r="H9" s="8" t="s">
        <v>510</v>
      </c>
      <c r="I9" s="12">
        <v>811036638</v>
      </c>
      <c r="J9" s="13" t="s">
        <v>514</v>
      </c>
      <c r="K9" s="14">
        <v>320</v>
      </c>
      <c r="L9" s="15" t="s">
        <v>250</v>
      </c>
      <c r="M9" s="16">
        <v>3634</v>
      </c>
      <c r="N9" s="16">
        <f t="shared" si="1"/>
        <v>690.46</v>
      </c>
      <c r="O9" s="16">
        <f t="shared" si="0"/>
        <v>1383827.2</v>
      </c>
      <c r="P9" s="14" t="s">
        <v>237</v>
      </c>
    </row>
    <row r="10" spans="1:16" x14ac:dyDescent="0.3">
      <c r="A10" s="8" t="s">
        <v>490</v>
      </c>
      <c r="B10" s="9" t="s">
        <v>508</v>
      </c>
      <c r="C10" s="10" t="s">
        <v>509</v>
      </c>
      <c r="D10" s="11">
        <v>43994</v>
      </c>
      <c r="E10" s="11">
        <v>43998</v>
      </c>
      <c r="F10" s="31">
        <v>24617210</v>
      </c>
      <c r="G10" s="32">
        <v>0</v>
      </c>
      <c r="H10" s="8" t="s">
        <v>510</v>
      </c>
      <c r="I10" s="12">
        <v>811036638</v>
      </c>
      <c r="J10" s="13" t="s">
        <v>515</v>
      </c>
      <c r="K10" s="14">
        <v>320</v>
      </c>
      <c r="L10" s="15" t="s">
        <v>250</v>
      </c>
      <c r="M10" s="16">
        <v>3634</v>
      </c>
      <c r="N10" s="16">
        <f t="shared" si="1"/>
        <v>690.46</v>
      </c>
      <c r="O10" s="16">
        <f t="shared" si="0"/>
        <v>1383827.2</v>
      </c>
      <c r="P10" s="14" t="s">
        <v>237</v>
      </c>
    </row>
    <row r="11" spans="1:16" x14ac:dyDescent="0.3">
      <c r="A11" s="8" t="s">
        <v>490</v>
      </c>
      <c r="B11" s="9" t="s">
        <v>508</v>
      </c>
      <c r="C11" s="10" t="s">
        <v>509</v>
      </c>
      <c r="D11" s="11">
        <v>43994</v>
      </c>
      <c r="E11" s="11">
        <v>43998</v>
      </c>
      <c r="F11" s="31">
        <v>24617210</v>
      </c>
      <c r="G11" s="32">
        <v>0</v>
      </c>
      <c r="H11" s="8" t="s">
        <v>510</v>
      </c>
      <c r="I11" s="12">
        <v>811036638</v>
      </c>
      <c r="J11" s="13" t="s">
        <v>516</v>
      </c>
      <c r="K11" s="14">
        <v>320</v>
      </c>
      <c r="L11" s="15" t="s">
        <v>250</v>
      </c>
      <c r="M11" s="16">
        <v>3634</v>
      </c>
      <c r="N11" s="16">
        <f t="shared" si="1"/>
        <v>690.46</v>
      </c>
      <c r="O11" s="16">
        <f t="shared" si="0"/>
        <v>1383827.2</v>
      </c>
      <c r="P11" s="14" t="s">
        <v>237</v>
      </c>
    </row>
    <row r="12" spans="1:16" x14ac:dyDescent="0.3">
      <c r="A12" s="8" t="s">
        <v>490</v>
      </c>
      <c r="B12" s="9" t="s">
        <v>508</v>
      </c>
      <c r="C12" s="10" t="s">
        <v>509</v>
      </c>
      <c r="D12" s="11">
        <v>43994</v>
      </c>
      <c r="E12" s="11">
        <v>43998</v>
      </c>
      <c r="F12" s="31">
        <v>24617210</v>
      </c>
      <c r="G12" s="32">
        <v>0</v>
      </c>
      <c r="H12" s="8" t="s">
        <v>510</v>
      </c>
      <c r="I12" s="12">
        <v>811036638</v>
      </c>
      <c r="J12" s="13" t="s">
        <v>517</v>
      </c>
      <c r="K12" s="14">
        <v>320</v>
      </c>
      <c r="L12" s="15" t="s">
        <v>250</v>
      </c>
      <c r="M12" s="16">
        <v>3634</v>
      </c>
      <c r="N12" s="16">
        <f t="shared" si="1"/>
        <v>690.46</v>
      </c>
      <c r="O12" s="16">
        <f t="shared" si="0"/>
        <v>1383827.2</v>
      </c>
      <c r="P12" s="14" t="s">
        <v>237</v>
      </c>
    </row>
    <row r="13" spans="1:16" x14ac:dyDescent="0.3">
      <c r="A13" s="8" t="s">
        <v>490</v>
      </c>
      <c r="B13" s="9" t="s">
        <v>508</v>
      </c>
      <c r="C13" s="10" t="s">
        <v>509</v>
      </c>
      <c r="D13" s="11">
        <v>43994</v>
      </c>
      <c r="E13" s="11">
        <v>43998</v>
      </c>
      <c r="F13" s="31">
        <v>24617210</v>
      </c>
      <c r="G13" s="32">
        <v>0</v>
      </c>
      <c r="H13" s="8" t="s">
        <v>510</v>
      </c>
      <c r="I13" s="12">
        <v>811036638</v>
      </c>
      <c r="J13" s="13" t="s">
        <v>518</v>
      </c>
      <c r="K13" s="14">
        <v>320</v>
      </c>
      <c r="L13" s="15" t="s">
        <v>250</v>
      </c>
      <c r="M13" s="16">
        <v>3634</v>
      </c>
      <c r="N13" s="16">
        <f t="shared" si="1"/>
        <v>690.46</v>
      </c>
      <c r="O13" s="16">
        <f t="shared" si="0"/>
        <v>1383827.2</v>
      </c>
      <c r="P13" s="14" t="s">
        <v>237</v>
      </c>
    </row>
    <row r="14" spans="1:16" x14ac:dyDescent="0.3">
      <c r="A14" s="8" t="s">
        <v>490</v>
      </c>
      <c r="B14" s="9" t="s">
        <v>508</v>
      </c>
      <c r="C14" s="10" t="s">
        <v>509</v>
      </c>
      <c r="D14" s="11">
        <v>43994</v>
      </c>
      <c r="E14" s="11">
        <v>43998</v>
      </c>
      <c r="F14" s="31">
        <v>24617210</v>
      </c>
      <c r="G14" s="32">
        <v>0</v>
      </c>
      <c r="H14" s="8" t="s">
        <v>510</v>
      </c>
      <c r="I14" s="12">
        <v>811036638</v>
      </c>
      <c r="J14" s="13" t="s">
        <v>519</v>
      </c>
      <c r="K14" s="14">
        <v>320</v>
      </c>
      <c r="L14" s="15" t="s">
        <v>250</v>
      </c>
      <c r="M14" s="16">
        <v>3634</v>
      </c>
      <c r="N14" s="16">
        <f t="shared" si="1"/>
        <v>690.46</v>
      </c>
      <c r="O14" s="16">
        <f t="shared" si="0"/>
        <v>1383827.2</v>
      </c>
      <c r="P14" s="14" t="s">
        <v>237</v>
      </c>
    </row>
    <row r="15" spans="1:16" x14ac:dyDescent="0.3">
      <c r="A15" s="8" t="s">
        <v>490</v>
      </c>
      <c r="B15" s="9" t="s">
        <v>508</v>
      </c>
      <c r="C15" s="10" t="s">
        <v>509</v>
      </c>
      <c r="D15" s="11">
        <v>43994</v>
      </c>
      <c r="E15" s="11">
        <v>43998</v>
      </c>
      <c r="F15" s="31">
        <v>24617210</v>
      </c>
      <c r="G15" s="32">
        <v>0</v>
      </c>
      <c r="H15" s="8" t="s">
        <v>510</v>
      </c>
      <c r="I15" s="12">
        <v>811036638</v>
      </c>
      <c r="J15" s="13" t="s">
        <v>520</v>
      </c>
      <c r="K15" s="14">
        <v>1500</v>
      </c>
      <c r="L15" s="15" t="s">
        <v>250</v>
      </c>
      <c r="M15" s="16">
        <v>4125</v>
      </c>
      <c r="N15" s="16">
        <f t="shared" si="1"/>
        <v>783.75</v>
      </c>
      <c r="O15" s="16">
        <f t="shared" si="0"/>
        <v>7363125</v>
      </c>
      <c r="P15" s="14" t="s">
        <v>237</v>
      </c>
    </row>
    <row r="16" spans="1:16" x14ac:dyDescent="0.3">
      <c r="A16" s="8" t="s">
        <v>490</v>
      </c>
      <c r="B16" s="9" t="s">
        <v>508</v>
      </c>
      <c r="C16" s="10" t="s">
        <v>509</v>
      </c>
      <c r="D16" s="11">
        <v>43994</v>
      </c>
      <c r="E16" s="11">
        <v>43998</v>
      </c>
      <c r="F16" s="31">
        <v>24617210</v>
      </c>
      <c r="G16" s="32">
        <v>0</v>
      </c>
      <c r="H16" s="8" t="s">
        <v>510</v>
      </c>
      <c r="I16" s="12">
        <v>811036638</v>
      </c>
      <c r="J16" s="13" t="s">
        <v>521</v>
      </c>
      <c r="K16" s="14">
        <v>48</v>
      </c>
      <c r="L16" s="15" t="s">
        <v>250</v>
      </c>
      <c r="M16" s="16">
        <v>4950</v>
      </c>
      <c r="N16" s="16">
        <f t="shared" si="1"/>
        <v>940.5</v>
      </c>
      <c r="O16" s="16">
        <f t="shared" si="0"/>
        <v>282744</v>
      </c>
      <c r="P16" s="14" t="s">
        <v>237</v>
      </c>
    </row>
    <row r="17" spans="1:16" x14ac:dyDescent="0.3">
      <c r="A17" s="8" t="s">
        <v>885</v>
      </c>
      <c r="B17" s="9" t="s">
        <v>903</v>
      </c>
      <c r="C17" s="17" t="s">
        <v>904</v>
      </c>
      <c r="D17" s="11">
        <v>44001</v>
      </c>
      <c r="E17" s="11">
        <v>44001</v>
      </c>
      <c r="F17" s="31">
        <v>1515800</v>
      </c>
      <c r="G17" s="32">
        <v>0</v>
      </c>
      <c r="H17" s="8" t="s">
        <v>905</v>
      </c>
      <c r="I17" s="12">
        <v>76318532</v>
      </c>
      <c r="J17" s="13" t="s">
        <v>906</v>
      </c>
      <c r="K17" s="14">
        <v>332</v>
      </c>
      <c r="L17" s="15" t="s">
        <v>250</v>
      </c>
      <c r="M17" s="16">
        <v>1400</v>
      </c>
      <c r="N17" s="16">
        <v>0</v>
      </c>
      <c r="O17" s="16">
        <f t="shared" si="0"/>
        <v>464800</v>
      </c>
      <c r="P17" s="19" t="s">
        <v>237</v>
      </c>
    </row>
    <row r="18" spans="1:16" x14ac:dyDescent="0.3">
      <c r="A18" s="8" t="s">
        <v>885</v>
      </c>
      <c r="B18" s="9" t="s">
        <v>903</v>
      </c>
      <c r="C18" s="17" t="s">
        <v>904</v>
      </c>
      <c r="D18" s="11">
        <v>44001</v>
      </c>
      <c r="E18" s="11">
        <v>44001</v>
      </c>
      <c r="F18" s="31">
        <v>1515800</v>
      </c>
      <c r="G18" s="32">
        <v>0</v>
      </c>
      <c r="H18" s="8" t="s">
        <v>905</v>
      </c>
      <c r="I18" s="12">
        <v>76318532</v>
      </c>
      <c r="J18" s="13" t="s">
        <v>907</v>
      </c>
      <c r="K18" s="14">
        <v>106</v>
      </c>
      <c r="L18" s="15" t="s">
        <v>250</v>
      </c>
      <c r="M18" s="16">
        <v>1896.2264150943399</v>
      </c>
      <c r="N18" s="16">
        <v>0</v>
      </c>
      <c r="O18" s="16">
        <f t="shared" si="0"/>
        <v>201000.00000000003</v>
      </c>
      <c r="P18" s="19" t="s">
        <v>237</v>
      </c>
    </row>
    <row r="19" spans="1:16" x14ac:dyDescent="0.3">
      <c r="A19" s="8" t="s">
        <v>885</v>
      </c>
      <c r="B19" s="9" t="s">
        <v>903</v>
      </c>
      <c r="C19" s="17" t="s">
        <v>904</v>
      </c>
      <c r="D19" s="11">
        <v>44001</v>
      </c>
      <c r="E19" s="11">
        <v>44001</v>
      </c>
      <c r="F19" s="31">
        <v>1515800</v>
      </c>
      <c r="G19" s="32">
        <v>0</v>
      </c>
      <c r="H19" s="8" t="s">
        <v>905</v>
      </c>
      <c r="I19" s="12">
        <v>76318532</v>
      </c>
      <c r="J19" s="13" t="s">
        <v>908</v>
      </c>
      <c r="K19" s="14">
        <v>500</v>
      </c>
      <c r="L19" s="15" t="s">
        <v>250</v>
      </c>
      <c r="M19" s="16">
        <v>1700</v>
      </c>
      <c r="N19" s="16">
        <v>0</v>
      </c>
      <c r="O19" s="16">
        <f t="shared" si="0"/>
        <v>850000</v>
      </c>
      <c r="P19" s="19" t="s">
        <v>237</v>
      </c>
    </row>
    <row r="20" spans="1:16" x14ac:dyDescent="0.3">
      <c r="A20" s="8" t="s">
        <v>976</v>
      </c>
      <c r="B20" s="9" t="s">
        <v>1001</v>
      </c>
      <c r="C20" s="10" t="s">
        <v>1002</v>
      </c>
      <c r="D20" s="11">
        <v>43980</v>
      </c>
      <c r="E20" s="11">
        <v>43980</v>
      </c>
      <c r="F20" s="31">
        <v>3624000</v>
      </c>
      <c r="G20" s="32">
        <v>0</v>
      </c>
      <c r="H20" s="8" t="s">
        <v>1003</v>
      </c>
      <c r="I20" s="12">
        <v>16471150</v>
      </c>
      <c r="J20" s="13" t="s">
        <v>1004</v>
      </c>
      <c r="K20" s="14">
        <v>995</v>
      </c>
      <c r="L20" s="15" t="s">
        <v>250</v>
      </c>
      <c r="M20" s="16">
        <v>3642.211055276382</v>
      </c>
      <c r="N20" s="16">
        <v>0</v>
      </c>
      <c r="O20" s="16">
        <f t="shared" si="0"/>
        <v>3624000</v>
      </c>
      <c r="P20" s="14" t="s">
        <v>237</v>
      </c>
    </row>
    <row r="21" spans="1:16" x14ac:dyDescent="0.3">
      <c r="A21" s="8" t="s">
        <v>976</v>
      </c>
      <c r="B21" s="9" t="s">
        <v>1014</v>
      </c>
      <c r="C21" s="10" t="s">
        <v>1015</v>
      </c>
      <c r="D21" s="11">
        <v>44012</v>
      </c>
      <c r="E21" s="11">
        <v>44012</v>
      </c>
      <c r="F21" s="31">
        <v>3120000</v>
      </c>
      <c r="G21" s="32">
        <v>0</v>
      </c>
      <c r="H21" s="8" t="s">
        <v>1016</v>
      </c>
      <c r="I21" s="12">
        <v>92527655</v>
      </c>
      <c r="J21" s="13" t="s">
        <v>1017</v>
      </c>
      <c r="K21" s="14">
        <v>8</v>
      </c>
      <c r="L21" s="15" t="s">
        <v>402</v>
      </c>
      <c r="M21" s="16">
        <v>63025</v>
      </c>
      <c r="N21" s="16">
        <f t="shared" ref="N21:N23" si="2">M21*0.19</f>
        <v>11974.75</v>
      </c>
      <c r="O21" s="16">
        <f t="shared" si="0"/>
        <v>599998</v>
      </c>
      <c r="P21" s="14" t="s">
        <v>237</v>
      </c>
    </row>
    <row r="22" spans="1:16" x14ac:dyDescent="0.3">
      <c r="A22" s="8" t="s">
        <v>976</v>
      </c>
      <c r="B22" s="9" t="s">
        <v>1014</v>
      </c>
      <c r="C22" s="10" t="s">
        <v>1015</v>
      </c>
      <c r="D22" s="11">
        <v>44012</v>
      </c>
      <c r="E22" s="11">
        <v>44012</v>
      </c>
      <c r="F22" s="31">
        <v>3120000</v>
      </c>
      <c r="G22" s="32">
        <v>0</v>
      </c>
      <c r="H22" s="8" t="s">
        <v>1016</v>
      </c>
      <c r="I22" s="12">
        <v>92527655</v>
      </c>
      <c r="J22" s="13" t="s">
        <v>1018</v>
      </c>
      <c r="K22" s="14">
        <v>40</v>
      </c>
      <c r="L22" s="15" t="s">
        <v>1204</v>
      </c>
      <c r="M22" s="16">
        <f>30000/1.19</f>
        <v>25210.084033613446</v>
      </c>
      <c r="N22" s="16">
        <f t="shared" si="2"/>
        <v>4789.9159663865548</v>
      </c>
      <c r="O22" s="16">
        <f t="shared" si="0"/>
        <v>1200000</v>
      </c>
      <c r="P22" s="14" t="s">
        <v>237</v>
      </c>
    </row>
    <row r="23" spans="1:16" x14ac:dyDescent="0.3">
      <c r="A23" s="8" t="s">
        <v>976</v>
      </c>
      <c r="B23" s="9" t="s">
        <v>1014</v>
      </c>
      <c r="C23" s="10" t="s">
        <v>1015</v>
      </c>
      <c r="D23" s="11">
        <v>44012</v>
      </c>
      <c r="E23" s="11">
        <v>44012</v>
      </c>
      <c r="F23" s="31">
        <v>3120000</v>
      </c>
      <c r="G23" s="32">
        <v>0</v>
      </c>
      <c r="H23" s="8" t="s">
        <v>1016</v>
      </c>
      <c r="I23" s="12">
        <v>92527655</v>
      </c>
      <c r="J23" s="13" t="s">
        <v>1019</v>
      </c>
      <c r="K23" s="14">
        <v>60</v>
      </c>
      <c r="L23" s="15" t="s">
        <v>1390</v>
      </c>
      <c r="M23" s="16">
        <f>22000/1.19</f>
        <v>18487.394957983193</v>
      </c>
      <c r="N23" s="16">
        <f t="shared" si="2"/>
        <v>3512.6050420168067</v>
      </c>
      <c r="O23" s="16">
        <f t="shared" si="0"/>
        <v>1320000</v>
      </c>
      <c r="P23" s="14" t="s">
        <v>237</v>
      </c>
    </row>
    <row r="24" spans="1:16" x14ac:dyDescent="0.3">
      <c r="A24" s="8" t="s">
        <v>1115</v>
      </c>
      <c r="B24" s="9">
        <v>5</v>
      </c>
      <c r="C24" s="10" t="s">
        <v>1145</v>
      </c>
      <c r="D24" s="11">
        <v>43969</v>
      </c>
      <c r="E24" s="11">
        <v>43971</v>
      </c>
      <c r="F24" s="31">
        <v>20065000</v>
      </c>
      <c r="G24" s="32">
        <v>0</v>
      </c>
      <c r="H24" s="8" t="s">
        <v>1146</v>
      </c>
      <c r="I24" s="12">
        <v>77188846</v>
      </c>
      <c r="J24" s="13" t="s">
        <v>1148</v>
      </c>
      <c r="K24" s="14">
        <v>57</v>
      </c>
      <c r="L24" s="15" t="s">
        <v>1371</v>
      </c>
      <c r="M24" s="16">
        <v>45000</v>
      </c>
      <c r="N24" s="16">
        <v>0</v>
      </c>
      <c r="O24" s="16">
        <f t="shared" si="0"/>
        <v>2565000</v>
      </c>
      <c r="P24" s="19" t="s">
        <v>237</v>
      </c>
    </row>
    <row r="25" spans="1:16" x14ac:dyDescent="0.3">
      <c r="A25" s="8" t="s">
        <v>1161</v>
      </c>
      <c r="B25" s="9" t="s">
        <v>1197</v>
      </c>
      <c r="C25" s="10" t="s">
        <v>1198</v>
      </c>
      <c r="D25" s="11">
        <v>44001</v>
      </c>
      <c r="E25" s="11">
        <v>44001</v>
      </c>
      <c r="F25" s="31">
        <v>3957720</v>
      </c>
      <c r="G25" s="32">
        <v>0</v>
      </c>
      <c r="H25" s="8" t="s">
        <v>715</v>
      </c>
      <c r="I25" s="12">
        <v>900155107</v>
      </c>
      <c r="J25" s="13" t="s">
        <v>1199</v>
      </c>
      <c r="K25" s="14">
        <v>5</v>
      </c>
      <c r="L25" s="15" t="s">
        <v>1200</v>
      </c>
      <c r="M25" s="16">
        <v>126000</v>
      </c>
      <c r="N25" s="16">
        <v>0</v>
      </c>
      <c r="O25" s="16">
        <f t="shared" si="0"/>
        <v>630000</v>
      </c>
      <c r="P25" s="14" t="s">
        <v>237</v>
      </c>
    </row>
    <row r="26" spans="1:16" x14ac:dyDescent="0.3">
      <c r="A26" s="8" t="s">
        <v>1161</v>
      </c>
      <c r="B26" s="9" t="s">
        <v>1202</v>
      </c>
      <c r="C26" s="10" t="s">
        <v>1203</v>
      </c>
      <c r="D26" s="11">
        <v>44001</v>
      </c>
      <c r="E26" s="11">
        <v>44001</v>
      </c>
      <c r="F26" s="31">
        <v>1063680</v>
      </c>
      <c r="G26" s="32">
        <v>0</v>
      </c>
      <c r="H26" s="8" t="s">
        <v>149</v>
      </c>
      <c r="I26" s="12">
        <v>830037946</v>
      </c>
      <c r="J26" s="13" t="s">
        <v>1287</v>
      </c>
      <c r="K26" s="14">
        <v>6</v>
      </c>
      <c r="L26" s="15" t="s">
        <v>1204</v>
      </c>
      <c r="M26" s="16">
        <v>44030</v>
      </c>
      <c r="N26" s="16">
        <v>0</v>
      </c>
      <c r="O26" s="16">
        <f t="shared" si="0"/>
        <v>264180</v>
      </c>
      <c r="P26" s="14" t="s">
        <v>237</v>
      </c>
    </row>
    <row r="27" spans="1:16" x14ac:dyDescent="0.3">
      <c r="F27" s="30"/>
      <c r="G27" s="30"/>
      <c r="K27" s="25"/>
      <c r="M27" s="26"/>
      <c r="N27" s="26"/>
      <c r="O27" s="26"/>
    </row>
  </sheetData>
  <dataValidations count="11">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B6:B16 B21:B23 B2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H6:H8 H15:H16 H20 H25">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I6:I8 I20 I2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16 A20:A23 A2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14 F21:F23 F2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E6:E14 E17:E19 E21:E23 D24:I24 A24:B24 E25:E26">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14 E3:E5 D21:D23 D2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5 F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5:E16 D20:E2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0">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26">
      <formula1>0</formula1>
      <formula2>390</formula2>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1322</v>
      </c>
      <c r="B2" s="9" t="s">
        <v>1327</v>
      </c>
      <c r="C2" s="17" t="s">
        <v>1393</v>
      </c>
      <c r="D2" s="11">
        <v>43937</v>
      </c>
      <c r="E2" s="11">
        <v>43942</v>
      </c>
      <c r="F2" s="31">
        <v>38556000</v>
      </c>
      <c r="G2" s="32">
        <v>0</v>
      </c>
      <c r="H2" s="8" t="s">
        <v>1328</v>
      </c>
      <c r="I2" s="12">
        <v>900588802</v>
      </c>
      <c r="J2" s="13" t="s">
        <v>1329</v>
      </c>
      <c r="K2" s="14">
        <v>3</v>
      </c>
      <c r="L2" s="15" t="s">
        <v>608</v>
      </c>
      <c r="M2" s="16">
        <v>10800000</v>
      </c>
      <c r="N2" s="16">
        <f>M2*0.19</f>
        <v>2052000</v>
      </c>
      <c r="O2" s="16">
        <f>K2*(M2+N2)</f>
        <v>38556000</v>
      </c>
      <c r="P2" s="19" t="s">
        <v>425</v>
      </c>
    </row>
    <row r="3" spans="1:16" x14ac:dyDescent="0.3">
      <c r="A3" s="8" t="s">
        <v>407</v>
      </c>
      <c r="B3" s="9" t="s">
        <v>422</v>
      </c>
      <c r="C3" s="10" t="s">
        <v>1225</v>
      </c>
      <c r="D3" s="11">
        <v>43929</v>
      </c>
      <c r="E3" s="11">
        <v>43929</v>
      </c>
      <c r="F3" s="31">
        <v>15232000</v>
      </c>
      <c r="G3" s="32">
        <v>0</v>
      </c>
      <c r="H3" s="8" t="s">
        <v>423</v>
      </c>
      <c r="I3" s="12">
        <v>24319928</v>
      </c>
      <c r="J3" s="13" t="s">
        <v>424</v>
      </c>
      <c r="K3" s="14">
        <v>2</v>
      </c>
      <c r="L3" s="15" t="s">
        <v>1288</v>
      </c>
      <c r="M3" s="16">
        <v>500000</v>
      </c>
      <c r="N3" s="16">
        <f t="shared" ref="N3:N19" si="0">M3*0.19</f>
        <v>95000</v>
      </c>
      <c r="O3" s="16">
        <f t="shared" ref="O3:O20" si="1">K3*(M3+N3)</f>
        <v>1190000</v>
      </c>
      <c r="P3" s="14" t="s">
        <v>425</v>
      </c>
    </row>
    <row r="4" spans="1:16" x14ac:dyDescent="0.3">
      <c r="A4" s="8" t="s">
        <v>407</v>
      </c>
      <c r="B4" s="9" t="s">
        <v>422</v>
      </c>
      <c r="C4" s="10" t="s">
        <v>1225</v>
      </c>
      <c r="D4" s="11">
        <v>43929</v>
      </c>
      <c r="E4" s="11">
        <v>43929</v>
      </c>
      <c r="F4" s="31">
        <v>15232000</v>
      </c>
      <c r="G4" s="32">
        <v>0</v>
      </c>
      <c r="H4" s="8" t="s">
        <v>423</v>
      </c>
      <c r="I4" s="12">
        <v>24319928</v>
      </c>
      <c r="J4" s="13" t="s">
        <v>426</v>
      </c>
      <c r="K4" s="14">
        <v>2</v>
      </c>
      <c r="L4" s="15" t="s">
        <v>1288</v>
      </c>
      <c r="M4" s="16">
        <v>600000</v>
      </c>
      <c r="N4" s="16">
        <f t="shared" si="0"/>
        <v>114000</v>
      </c>
      <c r="O4" s="16">
        <f t="shared" si="1"/>
        <v>1428000</v>
      </c>
      <c r="P4" s="14" t="s">
        <v>425</v>
      </c>
    </row>
    <row r="5" spans="1:16" x14ac:dyDescent="0.3">
      <c r="A5" s="8" t="s">
        <v>407</v>
      </c>
      <c r="B5" s="9" t="s">
        <v>422</v>
      </c>
      <c r="C5" s="10" t="s">
        <v>1225</v>
      </c>
      <c r="D5" s="11">
        <v>43929</v>
      </c>
      <c r="E5" s="11">
        <v>43929</v>
      </c>
      <c r="F5" s="31">
        <v>15232000</v>
      </c>
      <c r="G5" s="32">
        <v>0</v>
      </c>
      <c r="H5" s="8" t="s">
        <v>423</v>
      </c>
      <c r="I5" s="12">
        <v>24319928</v>
      </c>
      <c r="J5" s="13" t="s">
        <v>427</v>
      </c>
      <c r="K5" s="14">
        <v>2</v>
      </c>
      <c r="L5" s="15" t="s">
        <v>1288</v>
      </c>
      <c r="M5" s="16">
        <v>550000</v>
      </c>
      <c r="N5" s="16">
        <f t="shared" si="0"/>
        <v>104500</v>
      </c>
      <c r="O5" s="16">
        <f t="shared" si="1"/>
        <v>1309000</v>
      </c>
      <c r="P5" s="14" t="s">
        <v>425</v>
      </c>
    </row>
    <row r="6" spans="1:16" x14ac:dyDescent="0.3">
      <c r="A6" s="8" t="s">
        <v>407</v>
      </c>
      <c r="B6" s="9" t="s">
        <v>422</v>
      </c>
      <c r="C6" s="10" t="s">
        <v>1225</v>
      </c>
      <c r="D6" s="11">
        <v>43929</v>
      </c>
      <c r="E6" s="11">
        <v>43929</v>
      </c>
      <c r="F6" s="31">
        <v>15232000</v>
      </c>
      <c r="G6" s="32">
        <v>0</v>
      </c>
      <c r="H6" s="8" t="s">
        <v>423</v>
      </c>
      <c r="I6" s="12">
        <v>24319928</v>
      </c>
      <c r="J6" s="13" t="s">
        <v>428</v>
      </c>
      <c r="K6" s="14">
        <v>2</v>
      </c>
      <c r="L6" s="15" t="s">
        <v>1288</v>
      </c>
      <c r="M6" s="16">
        <v>650000</v>
      </c>
      <c r="N6" s="16">
        <f t="shared" si="0"/>
        <v>123500</v>
      </c>
      <c r="O6" s="16">
        <f t="shared" si="1"/>
        <v>1547000</v>
      </c>
      <c r="P6" s="14" t="s">
        <v>425</v>
      </c>
    </row>
    <row r="7" spans="1:16" x14ac:dyDescent="0.3">
      <c r="A7" s="8" t="s">
        <v>407</v>
      </c>
      <c r="B7" s="9" t="s">
        <v>422</v>
      </c>
      <c r="C7" s="10" t="s">
        <v>1225</v>
      </c>
      <c r="D7" s="11">
        <v>43929</v>
      </c>
      <c r="E7" s="11">
        <v>43929</v>
      </c>
      <c r="F7" s="31">
        <v>15232000</v>
      </c>
      <c r="G7" s="32">
        <v>0</v>
      </c>
      <c r="H7" s="8" t="s">
        <v>423</v>
      </c>
      <c r="I7" s="12">
        <v>24319928</v>
      </c>
      <c r="J7" s="13" t="s">
        <v>429</v>
      </c>
      <c r="K7" s="14">
        <v>2</v>
      </c>
      <c r="L7" s="15" t="s">
        <v>1288</v>
      </c>
      <c r="M7" s="16">
        <v>600000</v>
      </c>
      <c r="N7" s="16">
        <f t="shared" si="0"/>
        <v>114000</v>
      </c>
      <c r="O7" s="16">
        <f t="shared" si="1"/>
        <v>1428000</v>
      </c>
      <c r="P7" s="14" t="s">
        <v>425</v>
      </c>
    </row>
    <row r="8" spans="1:16" x14ac:dyDescent="0.3">
      <c r="A8" s="8" t="s">
        <v>407</v>
      </c>
      <c r="B8" s="9" t="s">
        <v>422</v>
      </c>
      <c r="C8" s="10" t="s">
        <v>1225</v>
      </c>
      <c r="D8" s="11">
        <v>43929</v>
      </c>
      <c r="E8" s="11">
        <v>43929</v>
      </c>
      <c r="F8" s="31">
        <v>15232000</v>
      </c>
      <c r="G8" s="32">
        <v>0</v>
      </c>
      <c r="H8" s="8" t="s">
        <v>423</v>
      </c>
      <c r="I8" s="12">
        <v>24319928</v>
      </c>
      <c r="J8" s="13" t="s">
        <v>430</v>
      </c>
      <c r="K8" s="14">
        <v>2</v>
      </c>
      <c r="L8" s="15" t="s">
        <v>1288</v>
      </c>
      <c r="M8" s="16">
        <v>550000</v>
      </c>
      <c r="N8" s="16">
        <f t="shared" si="0"/>
        <v>104500</v>
      </c>
      <c r="O8" s="16">
        <f t="shared" si="1"/>
        <v>1309000</v>
      </c>
      <c r="P8" s="14" t="s">
        <v>425</v>
      </c>
    </row>
    <row r="9" spans="1:16" x14ac:dyDescent="0.3">
      <c r="A9" s="8" t="s">
        <v>407</v>
      </c>
      <c r="B9" s="9" t="s">
        <v>422</v>
      </c>
      <c r="C9" s="10" t="s">
        <v>1225</v>
      </c>
      <c r="D9" s="11">
        <v>43929</v>
      </c>
      <c r="E9" s="11">
        <v>43929</v>
      </c>
      <c r="F9" s="31">
        <v>15232000</v>
      </c>
      <c r="G9" s="32">
        <v>0</v>
      </c>
      <c r="H9" s="8" t="s">
        <v>423</v>
      </c>
      <c r="I9" s="12">
        <v>24319928</v>
      </c>
      <c r="J9" s="13" t="s">
        <v>431</v>
      </c>
      <c r="K9" s="14">
        <v>2</v>
      </c>
      <c r="L9" s="15" t="s">
        <v>1288</v>
      </c>
      <c r="M9" s="16">
        <v>500000</v>
      </c>
      <c r="N9" s="16">
        <f t="shared" si="0"/>
        <v>95000</v>
      </c>
      <c r="O9" s="16">
        <f t="shared" si="1"/>
        <v>1190000</v>
      </c>
      <c r="P9" s="14" t="s">
        <v>425</v>
      </c>
    </row>
    <row r="10" spans="1:16" x14ac:dyDescent="0.3">
      <c r="A10" s="8" t="s">
        <v>407</v>
      </c>
      <c r="B10" s="9" t="s">
        <v>422</v>
      </c>
      <c r="C10" s="10" t="s">
        <v>1225</v>
      </c>
      <c r="D10" s="11">
        <v>43929</v>
      </c>
      <c r="E10" s="11">
        <v>43929</v>
      </c>
      <c r="F10" s="31">
        <v>15232000</v>
      </c>
      <c r="G10" s="32">
        <v>0</v>
      </c>
      <c r="H10" s="8" t="s">
        <v>423</v>
      </c>
      <c r="I10" s="12">
        <v>24319928</v>
      </c>
      <c r="J10" s="13" t="s">
        <v>432</v>
      </c>
      <c r="K10" s="14">
        <v>2</v>
      </c>
      <c r="L10" s="15" t="s">
        <v>1288</v>
      </c>
      <c r="M10" s="16">
        <v>500000</v>
      </c>
      <c r="N10" s="16">
        <f t="shared" si="0"/>
        <v>95000</v>
      </c>
      <c r="O10" s="16">
        <f t="shared" si="1"/>
        <v>1190000</v>
      </c>
      <c r="P10" s="14" t="s">
        <v>425</v>
      </c>
    </row>
    <row r="11" spans="1:16" x14ac:dyDescent="0.3">
      <c r="A11" s="8" t="s">
        <v>407</v>
      </c>
      <c r="B11" s="9" t="s">
        <v>422</v>
      </c>
      <c r="C11" s="10" t="s">
        <v>1225</v>
      </c>
      <c r="D11" s="11">
        <v>43929</v>
      </c>
      <c r="E11" s="11">
        <v>43929</v>
      </c>
      <c r="F11" s="31">
        <v>15232000</v>
      </c>
      <c r="G11" s="32">
        <v>0</v>
      </c>
      <c r="H11" s="8" t="s">
        <v>423</v>
      </c>
      <c r="I11" s="12">
        <v>24319928</v>
      </c>
      <c r="J11" s="13" t="s">
        <v>433</v>
      </c>
      <c r="K11" s="14">
        <v>2</v>
      </c>
      <c r="L11" s="15" t="s">
        <v>1288</v>
      </c>
      <c r="M11" s="16">
        <v>800000</v>
      </c>
      <c r="N11" s="16">
        <f t="shared" si="0"/>
        <v>152000</v>
      </c>
      <c r="O11" s="16">
        <f t="shared" si="1"/>
        <v>1904000</v>
      </c>
      <c r="P11" s="14" t="s">
        <v>425</v>
      </c>
    </row>
    <row r="12" spans="1:16" x14ac:dyDescent="0.3">
      <c r="A12" s="8" t="s">
        <v>407</v>
      </c>
      <c r="B12" s="9" t="s">
        <v>422</v>
      </c>
      <c r="C12" s="10" t="s">
        <v>1225</v>
      </c>
      <c r="D12" s="11">
        <v>43929</v>
      </c>
      <c r="E12" s="11">
        <v>43929</v>
      </c>
      <c r="F12" s="31">
        <v>15232000</v>
      </c>
      <c r="G12" s="32">
        <v>0</v>
      </c>
      <c r="H12" s="8" t="s">
        <v>423</v>
      </c>
      <c r="I12" s="12">
        <v>24319928</v>
      </c>
      <c r="J12" s="13" t="s">
        <v>434</v>
      </c>
      <c r="K12" s="14">
        <v>2</v>
      </c>
      <c r="L12" s="15" t="s">
        <v>1288</v>
      </c>
      <c r="M12" s="16">
        <v>650000</v>
      </c>
      <c r="N12" s="16">
        <f t="shared" si="0"/>
        <v>123500</v>
      </c>
      <c r="O12" s="16">
        <f t="shared" si="1"/>
        <v>1547000</v>
      </c>
      <c r="P12" s="14" t="s">
        <v>425</v>
      </c>
    </row>
    <row r="13" spans="1:16" x14ac:dyDescent="0.3">
      <c r="A13" s="8" t="s">
        <v>407</v>
      </c>
      <c r="B13" s="9" t="s">
        <v>422</v>
      </c>
      <c r="C13" s="10" t="s">
        <v>1225</v>
      </c>
      <c r="D13" s="11">
        <v>43929</v>
      </c>
      <c r="E13" s="11">
        <v>43929</v>
      </c>
      <c r="F13" s="31">
        <v>15232000</v>
      </c>
      <c r="G13" s="32">
        <v>0</v>
      </c>
      <c r="H13" s="8" t="s">
        <v>423</v>
      </c>
      <c r="I13" s="12">
        <v>24319928</v>
      </c>
      <c r="J13" s="13" t="s">
        <v>435</v>
      </c>
      <c r="K13" s="14">
        <v>2</v>
      </c>
      <c r="L13" s="15" t="s">
        <v>1288</v>
      </c>
      <c r="M13" s="16">
        <v>500000</v>
      </c>
      <c r="N13" s="16">
        <f t="shared" si="0"/>
        <v>95000</v>
      </c>
      <c r="O13" s="16">
        <f t="shared" si="1"/>
        <v>1190000</v>
      </c>
      <c r="P13" s="14" t="s">
        <v>425</v>
      </c>
    </row>
    <row r="14" spans="1:16" x14ac:dyDescent="0.3">
      <c r="A14" s="8" t="s">
        <v>407</v>
      </c>
      <c r="B14" s="9" t="s">
        <v>422</v>
      </c>
      <c r="C14" s="10" t="s">
        <v>1225</v>
      </c>
      <c r="D14" s="11">
        <v>43929</v>
      </c>
      <c r="E14" s="11">
        <v>43929</v>
      </c>
      <c r="F14" s="31">
        <v>15232000</v>
      </c>
      <c r="G14" s="32">
        <v>7616000</v>
      </c>
      <c r="H14" s="8" t="s">
        <v>423</v>
      </c>
      <c r="I14" s="12">
        <v>24319928</v>
      </c>
      <c r="J14" s="13" t="s">
        <v>436</v>
      </c>
      <c r="K14" s="14">
        <v>2</v>
      </c>
      <c r="L14" s="15" t="s">
        <v>1288</v>
      </c>
      <c r="M14" s="16">
        <v>650000</v>
      </c>
      <c r="N14" s="16">
        <f t="shared" si="0"/>
        <v>123500</v>
      </c>
      <c r="O14" s="16">
        <f t="shared" si="1"/>
        <v>1547000</v>
      </c>
      <c r="P14" s="14" t="s">
        <v>425</v>
      </c>
    </row>
    <row r="15" spans="1:16" x14ac:dyDescent="0.3">
      <c r="A15" s="8" t="s">
        <v>407</v>
      </c>
      <c r="B15" s="9" t="s">
        <v>422</v>
      </c>
      <c r="C15" s="10" t="s">
        <v>1225</v>
      </c>
      <c r="D15" s="11">
        <v>43929</v>
      </c>
      <c r="E15" s="11">
        <v>43929</v>
      </c>
      <c r="F15" s="31">
        <v>15232000</v>
      </c>
      <c r="G15" s="32">
        <v>7616000</v>
      </c>
      <c r="H15" s="8" t="s">
        <v>423</v>
      </c>
      <c r="I15" s="12">
        <v>24319928</v>
      </c>
      <c r="J15" s="13" t="s">
        <v>437</v>
      </c>
      <c r="K15" s="14">
        <v>2</v>
      </c>
      <c r="L15" s="15" t="s">
        <v>1288</v>
      </c>
      <c r="M15" s="16">
        <v>650000</v>
      </c>
      <c r="N15" s="16">
        <f t="shared" si="0"/>
        <v>123500</v>
      </c>
      <c r="O15" s="16">
        <f t="shared" si="1"/>
        <v>1547000</v>
      </c>
      <c r="P15" s="14" t="s">
        <v>425</v>
      </c>
    </row>
    <row r="16" spans="1:16" x14ac:dyDescent="0.3">
      <c r="A16" s="8" t="s">
        <v>407</v>
      </c>
      <c r="B16" s="9" t="s">
        <v>422</v>
      </c>
      <c r="C16" s="10" t="s">
        <v>1225</v>
      </c>
      <c r="D16" s="11">
        <v>43929</v>
      </c>
      <c r="E16" s="11">
        <v>43929</v>
      </c>
      <c r="F16" s="31">
        <v>15232000</v>
      </c>
      <c r="G16" s="32">
        <v>7616000</v>
      </c>
      <c r="H16" s="8" t="s">
        <v>423</v>
      </c>
      <c r="I16" s="12">
        <v>24319928</v>
      </c>
      <c r="J16" s="13" t="s">
        <v>438</v>
      </c>
      <c r="K16" s="14">
        <v>2</v>
      </c>
      <c r="L16" s="15" t="s">
        <v>1288</v>
      </c>
      <c r="M16" s="16">
        <v>500000</v>
      </c>
      <c r="N16" s="16">
        <f t="shared" si="0"/>
        <v>95000</v>
      </c>
      <c r="O16" s="16">
        <f t="shared" si="1"/>
        <v>1190000</v>
      </c>
      <c r="P16" s="14" t="s">
        <v>425</v>
      </c>
    </row>
    <row r="17" spans="1:16" x14ac:dyDescent="0.3">
      <c r="A17" s="8" t="s">
        <v>407</v>
      </c>
      <c r="B17" s="9" t="s">
        <v>422</v>
      </c>
      <c r="C17" s="10" t="s">
        <v>1225</v>
      </c>
      <c r="D17" s="11">
        <v>43929</v>
      </c>
      <c r="E17" s="11">
        <v>43929</v>
      </c>
      <c r="F17" s="31">
        <v>15232000</v>
      </c>
      <c r="G17" s="32">
        <v>7616000</v>
      </c>
      <c r="H17" s="8" t="s">
        <v>423</v>
      </c>
      <c r="I17" s="12">
        <v>24319928</v>
      </c>
      <c r="J17" s="13" t="s">
        <v>439</v>
      </c>
      <c r="K17" s="14">
        <v>2</v>
      </c>
      <c r="L17" s="15" t="s">
        <v>1288</v>
      </c>
      <c r="M17" s="16">
        <v>600000</v>
      </c>
      <c r="N17" s="16">
        <f t="shared" si="0"/>
        <v>114000</v>
      </c>
      <c r="O17" s="16">
        <f t="shared" si="1"/>
        <v>1428000</v>
      </c>
      <c r="P17" s="14" t="s">
        <v>425</v>
      </c>
    </row>
    <row r="18" spans="1:16" x14ac:dyDescent="0.3">
      <c r="A18" s="8" t="s">
        <v>407</v>
      </c>
      <c r="B18" s="9" t="s">
        <v>422</v>
      </c>
      <c r="C18" s="10" t="s">
        <v>1225</v>
      </c>
      <c r="D18" s="11">
        <v>43929</v>
      </c>
      <c r="E18" s="11">
        <v>43929</v>
      </c>
      <c r="F18" s="31">
        <v>15232000</v>
      </c>
      <c r="G18" s="32">
        <v>7616000</v>
      </c>
      <c r="H18" s="8" t="s">
        <v>423</v>
      </c>
      <c r="I18" s="12">
        <v>24319928</v>
      </c>
      <c r="J18" s="13" t="s">
        <v>440</v>
      </c>
      <c r="K18" s="14">
        <v>2</v>
      </c>
      <c r="L18" s="15" t="s">
        <v>1288</v>
      </c>
      <c r="M18" s="16">
        <v>800000</v>
      </c>
      <c r="N18" s="16">
        <f t="shared" si="0"/>
        <v>152000</v>
      </c>
      <c r="O18" s="16">
        <f t="shared" si="1"/>
        <v>1904000</v>
      </c>
      <c r="P18" s="14" t="s">
        <v>425</v>
      </c>
    </row>
    <row r="19" spans="1:16" x14ac:dyDescent="0.3">
      <c r="A19" s="8" t="s">
        <v>544</v>
      </c>
      <c r="B19" s="9" t="s">
        <v>582</v>
      </c>
      <c r="C19" s="10" t="s">
        <v>583</v>
      </c>
      <c r="D19" s="11" t="s">
        <v>584</v>
      </c>
      <c r="E19" s="11" t="s">
        <v>584</v>
      </c>
      <c r="F19" s="31">
        <v>75000000</v>
      </c>
      <c r="G19" s="32">
        <v>0</v>
      </c>
      <c r="H19" s="8" t="s">
        <v>585</v>
      </c>
      <c r="I19" s="12">
        <v>900306020</v>
      </c>
      <c r="J19" s="13" t="s">
        <v>1401</v>
      </c>
      <c r="K19" s="14">
        <v>30000</v>
      </c>
      <c r="L19" s="15" t="s">
        <v>1400</v>
      </c>
      <c r="M19" s="16">
        <v>2100.840336134454</v>
      </c>
      <c r="N19" s="16">
        <f t="shared" si="0"/>
        <v>399.15966386554624</v>
      </c>
      <c r="O19" s="16">
        <f t="shared" si="1"/>
        <v>75000000</v>
      </c>
      <c r="P19" s="14" t="s">
        <v>425</v>
      </c>
    </row>
    <row r="20" spans="1:16" x14ac:dyDescent="0.3">
      <c r="A20" s="8" t="s">
        <v>728</v>
      </c>
      <c r="B20" s="9">
        <v>1642111</v>
      </c>
      <c r="C20" s="10" t="s">
        <v>780</v>
      </c>
      <c r="D20" s="11">
        <v>44001</v>
      </c>
      <c r="E20" s="11">
        <v>44005</v>
      </c>
      <c r="F20" s="31">
        <v>44287000</v>
      </c>
      <c r="G20" s="32">
        <v>0</v>
      </c>
      <c r="H20" s="8" t="s">
        <v>781</v>
      </c>
      <c r="I20" s="12">
        <v>1082127888</v>
      </c>
      <c r="J20" s="13" t="s">
        <v>782</v>
      </c>
      <c r="K20" s="14">
        <v>3</v>
      </c>
      <c r="L20" s="15" t="s">
        <v>1288</v>
      </c>
      <c r="M20" s="16">
        <v>938000</v>
      </c>
      <c r="N20" s="16">
        <v>0</v>
      </c>
      <c r="O20" s="16">
        <f t="shared" si="1"/>
        <v>2814000</v>
      </c>
      <c r="P20" s="14" t="s">
        <v>425</v>
      </c>
    </row>
    <row r="21" spans="1:16" x14ac:dyDescent="0.3">
      <c r="A21" s="8" t="s">
        <v>728</v>
      </c>
      <c r="B21" s="9">
        <v>1642111</v>
      </c>
      <c r="C21" s="10" t="s">
        <v>780</v>
      </c>
      <c r="D21" s="11">
        <v>44001</v>
      </c>
      <c r="E21" s="11">
        <v>44005</v>
      </c>
      <c r="F21" s="31">
        <v>44287000</v>
      </c>
      <c r="G21" s="32">
        <v>0</v>
      </c>
      <c r="H21" s="8" t="s">
        <v>781</v>
      </c>
      <c r="I21" s="12">
        <v>1082127888</v>
      </c>
      <c r="J21" s="13" t="s">
        <v>784</v>
      </c>
      <c r="K21" s="14">
        <v>3</v>
      </c>
      <c r="L21" s="15" t="s">
        <v>1288</v>
      </c>
      <c r="M21" s="16">
        <v>301500</v>
      </c>
      <c r="N21" s="16">
        <v>0</v>
      </c>
      <c r="O21" s="16">
        <f>K21*(M21+N22)</f>
        <v>904500</v>
      </c>
      <c r="P21" s="14" t="s">
        <v>425</v>
      </c>
    </row>
    <row r="22" spans="1:16" x14ac:dyDescent="0.3">
      <c r="A22" s="8" t="s">
        <v>728</v>
      </c>
      <c r="B22" s="9">
        <v>1642111</v>
      </c>
      <c r="C22" s="10" t="s">
        <v>780</v>
      </c>
      <c r="D22" s="11">
        <v>44001</v>
      </c>
      <c r="E22" s="11">
        <v>44005</v>
      </c>
      <c r="F22" s="31">
        <v>44287000</v>
      </c>
      <c r="G22" s="32">
        <v>0</v>
      </c>
      <c r="H22" s="8" t="s">
        <v>781</v>
      </c>
      <c r="I22" s="12">
        <v>1082127888</v>
      </c>
      <c r="J22" s="13" t="s">
        <v>785</v>
      </c>
      <c r="K22" s="14">
        <v>3</v>
      </c>
      <c r="L22" s="15" t="s">
        <v>1288</v>
      </c>
      <c r="M22" s="16">
        <v>301500</v>
      </c>
      <c r="N22" s="16">
        <v>0</v>
      </c>
      <c r="O22" s="16">
        <f>K22*(M22+N23)</f>
        <v>904500</v>
      </c>
      <c r="P22" s="14" t="s">
        <v>425</v>
      </c>
    </row>
    <row r="23" spans="1:16" x14ac:dyDescent="0.3">
      <c r="A23" s="8" t="s">
        <v>728</v>
      </c>
      <c r="B23" s="9">
        <v>1642111</v>
      </c>
      <c r="C23" s="10" t="s">
        <v>780</v>
      </c>
      <c r="D23" s="11">
        <v>44001</v>
      </c>
      <c r="E23" s="11">
        <v>44005</v>
      </c>
      <c r="F23" s="31">
        <v>44287000</v>
      </c>
      <c r="G23" s="32">
        <v>0</v>
      </c>
      <c r="H23" s="8" t="s">
        <v>781</v>
      </c>
      <c r="I23" s="12">
        <v>1082127888</v>
      </c>
      <c r="J23" s="13" t="s">
        <v>786</v>
      </c>
      <c r="K23" s="14">
        <v>3</v>
      </c>
      <c r="L23" s="15" t="s">
        <v>1288</v>
      </c>
      <c r="M23" s="16">
        <v>301500</v>
      </c>
      <c r="N23" s="16">
        <v>0</v>
      </c>
      <c r="O23" s="16">
        <f>K23*(M23+N24)</f>
        <v>904500</v>
      </c>
      <c r="P23" s="14" t="s">
        <v>425</v>
      </c>
    </row>
    <row r="24" spans="1:16" x14ac:dyDescent="0.3">
      <c r="A24" s="8" t="s">
        <v>728</v>
      </c>
      <c r="B24" s="9">
        <v>1642111</v>
      </c>
      <c r="C24" s="10" t="s">
        <v>780</v>
      </c>
      <c r="D24" s="11">
        <v>44001</v>
      </c>
      <c r="E24" s="11">
        <v>44005</v>
      </c>
      <c r="F24" s="31">
        <v>44287000</v>
      </c>
      <c r="G24" s="32">
        <v>0</v>
      </c>
      <c r="H24" s="8" t="s">
        <v>781</v>
      </c>
      <c r="I24" s="12">
        <v>1082127888</v>
      </c>
      <c r="J24" s="13" t="s">
        <v>787</v>
      </c>
      <c r="K24" s="14">
        <v>3</v>
      </c>
      <c r="L24" s="15" t="s">
        <v>1288</v>
      </c>
      <c r="M24" s="16">
        <v>301500</v>
      </c>
      <c r="N24" s="16">
        <v>0</v>
      </c>
      <c r="O24" s="16">
        <f t="shared" ref="O24:O87" si="2">K24*(M24+N24)</f>
        <v>904500</v>
      </c>
      <c r="P24" s="14" t="s">
        <v>425</v>
      </c>
    </row>
    <row r="25" spans="1:16" x14ac:dyDescent="0.3">
      <c r="A25" s="8" t="s">
        <v>728</v>
      </c>
      <c r="B25" s="9">
        <v>1642111</v>
      </c>
      <c r="C25" s="10" t="s">
        <v>780</v>
      </c>
      <c r="D25" s="11">
        <v>44001</v>
      </c>
      <c r="E25" s="11">
        <v>44005</v>
      </c>
      <c r="F25" s="31">
        <v>44287000</v>
      </c>
      <c r="G25" s="32">
        <v>0</v>
      </c>
      <c r="H25" s="8" t="s">
        <v>781</v>
      </c>
      <c r="I25" s="12">
        <v>1082127888</v>
      </c>
      <c r="J25" s="13" t="s">
        <v>1269</v>
      </c>
      <c r="K25" s="14">
        <v>3</v>
      </c>
      <c r="L25" s="15" t="s">
        <v>1288</v>
      </c>
      <c r="M25" s="16">
        <v>301500</v>
      </c>
      <c r="N25" s="16">
        <v>0</v>
      </c>
      <c r="O25" s="16">
        <f t="shared" si="2"/>
        <v>904500</v>
      </c>
      <c r="P25" s="14" t="s">
        <v>425</v>
      </c>
    </row>
    <row r="26" spans="1:16" x14ac:dyDescent="0.3">
      <c r="A26" s="8" t="s">
        <v>728</v>
      </c>
      <c r="B26" s="9">
        <v>1642111</v>
      </c>
      <c r="C26" s="10" t="s">
        <v>780</v>
      </c>
      <c r="D26" s="11">
        <v>44001</v>
      </c>
      <c r="E26" s="11">
        <v>44005</v>
      </c>
      <c r="F26" s="31">
        <v>44287000</v>
      </c>
      <c r="G26" s="32">
        <v>0</v>
      </c>
      <c r="H26" s="8" t="s">
        <v>781</v>
      </c>
      <c r="I26" s="12">
        <v>1082127888</v>
      </c>
      <c r="J26" s="13" t="s">
        <v>788</v>
      </c>
      <c r="K26" s="14">
        <v>2</v>
      </c>
      <c r="L26" s="15" t="s">
        <v>1288</v>
      </c>
      <c r="M26" s="16">
        <v>201000</v>
      </c>
      <c r="N26" s="16">
        <v>0</v>
      </c>
      <c r="O26" s="16">
        <f t="shared" si="2"/>
        <v>402000</v>
      </c>
      <c r="P26" s="14" t="s">
        <v>425</v>
      </c>
    </row>
    <row r="27" spans="1:16" x14ac:dyDescent="0.3">
      <c r="A27" s="8" t="s">
        <v>728</v>
      </c>
      <c r="B27" s="9">
        <v>1642111</v>
      </c>
      <c r="C27" s="10" t="s">
        <v>780</v>
      </c>
      <c r="D27" s="11">
        <v>44001</v>
      </c>
      <c r="E27" s="11">
        <v>44005</v>
      </c>
      <c r="F27" s="31">
        <v>44287000</v>
      </c>
      <c r="G27" s="32">
        <v>0</v>
      </c>
      <c r="H27" s="8" t="s">
        <v>781</v>
      </c>
      <c r="I27" s="12">
        <v>1082127888</v>
      </c>
      <c r="J27" s="13" t="s">
        <v>789</v>
      </c>
      <c r="K27" s="14">
        <v>3</v>
      </c>
      <c r="L27" s="15" t="s">
        <v>1288</v>
      </c>
      <c r="M27" s="16">
        <v>301500</v>
      </c>
      <c r="N27" s="16">
        <v>0</v>
      </c>
      <c r="O27" s="16">
        <f t="shared" si="2"/>
        <v>904500</v>
      </c>
      <c r="P27" s="14" t="s">
        <v>425</v>
      </c>
    </row>
    <row r="28" spans="1:16" x14ac:dyDescent="0.3">
      <c r="A28" s="8" t="s">
        <v>728</v>
      </c>
      <c r="B28" s="9">
        <v>1642111</v>
      </c>
      <c r="C28" s="10" t="s">
        <v>780</v>
      </c>
      <c r="D28" s="11">
        <v>44001</v>
      </c>
      <c r="E28" s="11">
        <v>44005</v>
      </c>
      <c r="F28" s="31">
        <v>44287000</v>
      </c>
      <c r="G28" s="32">
        <v>0</v>
      </c>
      <c r="H28" s="8" t="s">
        <v>781</v>
      </c>
      <c r="I28" s="12">
        <v>1082127888</v>
      </c>
      <c r="J28" s="13" t="s">
        <v>790</v>
      </c>
      <c r="K28" s="14">
        <v>2</v>
      </c>
      <c r="L28" s="15" t="s">
        <v>1288</v>
      </c>
      <c r="M28" s="16">
        <v>234500</v>
      </c>
      <c r="N28" s="16">
        <v>0</v>
      </c>
      <c r="O28" s="16">
        <f t="shared" si="2"/>
        <v>469000</v>
      </c>
      <c r="P28" s="14" t="s">
        <v>425</v>
      </c>
    </row>
    <row r="29" spans="1:16" x14ac:dyDescent="0.3">
      <c r="A29" s="8" t="s">
        <v>728</v>
      </c>
      <c r="B29" s="9">
        <v>1642111</v>
      </c>
      <c r="C29" s="10" t="s">
        <v>780</v>
      </c>
      <c r="D29" s="11">
        <v>44001</v>
      </c>
      <c r="E29" s="11">
        <v>44005</v>
      </c>
      <c r="F29" s="31">
        <v>44287000</v>
      </c>
      <c r="G29" s="32">
        <v>0</v>
      </c>
      <c r="H29" s="8" t="s">
        <v>781</v>
      </c>
      <c r="I29" s="12">
        <v>1082127888</v>
      </c>
      <c r="J29" s="13" t="s">
        <v>791</v>
      </c>
      <c r="K29" s="14">
        <v>2</v>
      </c>
      <c r="L29" s="15" t="s">
        <v>1288</v>
      </c>
      <c r="M29" s="16">
        <v>234500</v>
      </c>
      <c r="N29" s="16">
        <v>0</v>
      </c>
      <c r="O29" s="16">
        <f t="shared" si="2"/>
        <v>469000</v>
      </c>
      <c r="P29" s="14" t="s">
        <v>425</v>
      </c>
    </row>
    <row r="30" spans="1:16" x14ac:dyDescent="0.3">
      <c r="A30" s="8" t="s">
        <v>728</v>
      </c>
      <c r="B30" s="9">
        <v>1642111</v>
      </c>
      <c r="C30" s="10" t="s">
        <v>780</v>
      </c>
      <c r="D30" s="11">
        <v>44001</v>
      </c>
      <c r="E30" s="11">
        <v>44005</v>
      </c>
      <c r="F30" s="31">
        <v>44287000</v>
      </c>
      <c r="G30" s="32">
        <v>0</v>
      </c>
      <c r="H30" s="8" t="s">
        <v>781</v>
      </c>
      <c r="I30" s="12">
        <v>1082127888</v>
      </c>
      <c r="J30" s="13" t="s">
        <v>792</v>
      </c>
      <c r="K30" s="14">
        <v>1</v>
      </c>
      <c r="L30" s="15" t="s">
        <v>1288</v>
      </c>
      <c r="M30" s="16">
        <v>201000</v>
      </c>
      <c r="N30" s="16">
        <v>0</v>
      </c>
      <c r="O30" s="16">
        <f t="shared" si="2"/>
        <v>201000</v>
      </c>
      <c r="P30" s="14" t="s">
        <v>425</v>
      </c>
    </row>
    <row r="31" spans="1:16" x14ac:dyDescent="0.3">
      <c r="A31" s="8" t="s">
        <v>728</v>
      </c>
      <c r="B31" s="9">
        <v>1642111</v>
      </c>
      <c r="C31" s="10" t="s">
        <v>780</v>
      </c>
      <c r="D31" s="11">
        <v>44001</v>
      </c>
      <c r="E31" s="11">
        <v>44005</v>
      </c>
      <c r="F31" s="31">
        <v>44287000</v>
      </c>
      <c r="G31" s="32">
        <v>0</v>
      </c>
      <c r="H31" s="8" t="s">
        <v>781</v>
      </c>
      <c r="I31" s="12">
        <v>1082127888</v>
      </c>
      <c r="J31" s="13" t="s">
        <v>793</v>
      </c>
      <c r="K31" s="14">
        <v>1</v>
      </c>
      <c r="L31" s="15" t="s">
        <v>1288</v>
      </c>
      <c r="M31" s="16">
        <v>201000</v>
      </c>
      <c r="N31" s="16">
        <v>0</v>
      </c>
      <c r="O31" s="16">
        <f t="shared" si="2"/>
        <v>201000</v>
      </c>
      <c r="P31" s="14" t="s">
        <v>425</v>
      </c>
    </row>
    <row r="32" spans="1:16" x14ac:dyDescent="0.3">
      <c r="A32" s="8" t="s">
        <v>728</v>
      </c>
      <c r="B32" s="9">
        <v>1642111</v>
      </c>
      <c r="C32" s="10" t="s">
        <v>780</v>
      </c>
      <c r="D32" s="11">
        <v>44001</v>
      </c>
      <c r="E32" s="11">
        <v>44005</v>
      </c>
      <c r="F32" s="31">
        <v>44287000</v>
      </c>
      <c r="G32" s="32">
        <v>0</v>
      </c>
      <c r="H32" s="8" t="s">
        <v>781</v>
      </c>
      <c r="I32" s="12">
        <v>1082127888</v>
      </c>
      <c r="J32" s="13" t="s">
        <v>794</v>
      </c>
      <c r="K32" s="14">
        <v>2</v>
      </c>
      <c r="L32" s="15" t="s">
        <v>1288</v>
      </c>
      <c r="M32" s="16">
        <v>201000</v>
      </c>
      <c r="N32" s="16">
        <v>0</v>
      </c>
      <c r="O32" s="16">
        <f t="shared" si="2"/>
        <v>402000</v>
      </c>
      <c r="P32" s="14" t="s">
        <v>425</v>
      </c>
    </row>
    <row r="33" spans="1:16" x14ac:dyDescent="0.3">
      <c r="A33" s="8" t="s">
        <v>728</v>
      </c>
      <c r="B33" s="9">
        <v>1642111</v>
      </c>
      <c r="C33" s="10" t="s">
        <v>780</v>
      </c>
      <c r="D33" s="11">
        <v>44001</v>
      </c>
      <c r="E33" s="11">
        <v>44005</v>
      </c>
      <c r="F33" s="31">
        <v>44287000</v>
      </c>
      <c r="G33" s="32">
        <v>0</v>
      </c>
      <c r="H33" s="8" t="s">
        <v>781</v>
      </c>
      <c r="I33" s="12">
        <v>1082127888</v>
      </c>
      <c r="J33" s="13" t="s">
        <v>795</v>
      </c>
      <c r="K33" s="14">
        <v>2</v>
      </c>
      <c r="L33" s="15" t="s">
        <v>1288</v>
      </c>
      <c r="M33" s="16">
        <v>234500</v>
      </c>
      <c r="N33" s="16">
        <v>0</v>
      </c>
      <c r="O33" s="16">
        <f t="shared" si="2"/>
        <v>469000</v>
      </c>
      <c r="P33" s="14" t="s">
        <v>425</v>
      </c>
    </row>
    <row r="34" spans="1:16" x14ac:dyDescent="0.3">
      <c r="A34" s="8" t="s">
        <v>728</v>
      </c>
      <c r="B34" s="9">
        <v>1642111</v>
      </c>
      <c r="C34" s="10" t="s">
        <v>780</v>
      </c>
      <c r="D34" s="11">
        <v>44001</v>
      </c>
      <c r="E34" s="11">
        <v>44005</v>
      </c>
      <c r="F34" s="31">
        <v>44287000</v>
      </c>
      <c r="G34" s="32">
        <v>0</v>
      </c>
      <c r="H34" s="8" t="s">
        <v>781</v>
      </c>
      <c r="I34" s="12">
        <v>1082127888</v>
      </c>
      <c r="J34" s="13" t="s">
        <v>796</v>
      </c>
      <c r="K34" s="14">
        <v>1</v>
      </c>
      <c r="L34" s="15" t="s">
        <v>1288</v>
      </c>
      <c r="M34" s="16">
        <v>201000</v>
      </c>
      <c r="N34" s="16">
        <v>0</v>
      </c>
      <c r="O34" s="16">
        <f t="shared" si="2"/>
        <v>201000</v>
      </c>
      <c r="P34" s="14" t="s">
        <v>425</v>
      </c>
    </row>
    <row r="35" spans="1:16" x14ac:dyDescent="0.3">
      <c r="A35" s="8" t="s">
        <v>728</v>
      </c>
      <c r="B35" s="9">
        <v>1642111</v>
      </c>
      <c r="C35" s="10" t="s">
        <v>780</v>
      </c>
      <c r="D35" s="11">
        <v>44001</v>
      </c>
      <c r="E35" s="11">
        <v>44005</v>
      </c>
      <c r="F35" s="31">
        <v>44287000</v>
      </c>
      <c r="G35" s="32">
        <v>0</v>
      </c>
      <c r="H35" s="8" t="s">
        <v>781</v>
      </c>
      <c r="I35" s="12">
        <v>1082127888</v>
      </c>
      <c r="J35" s="13" t="s">
        <v>797</v>
      </c>
      <c r="K35" s="14">
        <v>1</v>
      </c>
      <c r="L35" s="15" t="s">
        <v>1288</v>
      </c>
      <c r="M35" s="16">
        <v>268000</v>
      </c>
      <c r="N35" s="16">
        <v>0</v>
      </c>
      <c r="O35" s="16">
        <f t="shared" si="2"/>
        <v>268000</v>
      </c>
      <c r="P35" s="14" t="s">
        <v>425</v>
      </c>
    </row>
    <row r="36" spans="1:16" x14ac:dyDescent="0.3">
      <c r="A36" s="8" t="s">
        <v>728</v>
      </c>
      <c r="B36" s="9">
        <v>1642111</v>
      </c>
      <c r="C36" s="10" t="s">
        <v>780</v>
      </c>
      <c r="D36" s="11">
        <v>44001</v>
      </c>
      <c r="E36" s="11">
        <v>44005</v>
      </c>
      <c r="F36" s="31">
        <v>44287000</v>
      </c>
      <c r="G36" s="32">
        <v>0</v>
      </c>
      <c r="H36" s="8" t="s">
        <v>781</v>
      </c>
      <c r="I36" s="12">
        <v>1082127888</v>
      </c>
      <c r="J36" s="13" t="s">
        <v>798</v>
      </c>
      <c r="K36" s="14">
        <v>1</v>
      </c>
      <c r="L36" s="15" t="s">
        <v>1288</v>
      </c>
      <c r="M36" s="16">
        <v>268000</v>
      </c>
      <c r="N36" s="16">
        <v>0</v>
      </c>
      <c r="O36" s="16">
        <f t="shared" si="2"/>
        <v>268000</v>
      </c>
      <c r="P36" s="14" t="s">
        <v>425</v>
      </c>
    </row>
    <row r="37" spans="1:16" x14ac:dyDescent="0.3">
      <c r="A37" s="8" t="s">
        <v>728</v>
      </c>
      <c r="B37" s="9">
        <v>1642111</v>
      </c>
      <c r="C37" s="10" t="s">
        <v>780</v>
      </c>
      <c r="D37" s="11">
        <v>44001</v>
      </c>
      <c r="E37" s="11">
        <v>44005</v>
      </c>
      <c r="F37" s="31">
        <v>44287000</v>
      </c>
      <c r="G37" s="32">
        <v>0</v>
      </c>
      <c r="H37" s="8" t="s">
        <v>781</v>
      </c>
      <c r="I37" s="12">
        <v>1082127888</v>
      </c>
      <c r="J37" s="13" t="s">
        <v>799</v>
      </c>
      <c r="K37" s="14">
        <v>2</v>
      </c>
      <c r="L37" s="15" t="s">
        <v>1288</v>
      </c>
      <c r="M37" s="16">
        <v>335000</v>
      </c>
      <c r="N37" s="16">
        <v>0</v>
      </c>
      <c r="O37" s="16">
        <f t="shared" si="2"/>
        <v>670000</v>
      </c>
      <c r="P37" s="14" t="s">
        <v>425</v>
      </c>
    </row>
    <row r="38" spans="1:16" x14ac:dyDescent="0.3">
      <c r="A38" s="8" t="s">
        <v>728</v>
      </c>
      <c r="B38" s="9">
        <v>1642111</v>
      </c>
      <c r="C38" s="10" t="s">
        <v>780</v>
      </c>
      <c r="D38" s="11">
        <v>44001</v>
      </c>
      <c r="E38" s="11">
        <v>44005</v>
      </c>
      <c r="F38" s="31">
        <v>44287000</v>
      </c>
      <c r="G38" s="32">
        <v>0</v>
      </c>
      <c r="H38" s="8" t="s">
        <v>781</v>
      </c>
      <c r="I38" s="12">
        <v>1082127888</v>
      </c>
      <c r="J38" s="13" t="s">
        <v>800</v>
      </c>
      <c r="K38" s="14">
        <v>1</v>
      </c>
      <c r="L38" s="15" t="s">
        <v>1288</v>
      </c>
      <c r="M38" s="16">
        <v>201000</v>
      </c>
      <c r="N38" s="16">
        <v>0</v>
      </c>
      <c r="O38" s="16">
        <f t="shared" si="2"/>
        <v>201000</v>
      </c>
      <c r="P38" s="14" t="s">
        <v>425</v>
      </c>
    </row>
    <row r="39" spans="1:16" x14ac:dyDescent="0.3">
      <c r="A39" s="8" t="s">
        <v>728</v>
      </c>
      <c r="B39" s="9">
        <v>1642111</v>
      </c>
      <c r="C39" s="10" t="s">
        <v>780</v>
      </c>
      <c r="D39" s="11">
        <v>44001</v>
      </c>
      <c r="E39" s="11">
        <v>44005</v>
      </c>
      <c r="F39" s="31">
        <v>44287000</v>
      </c>
      <c r="G39" s="32">
        <v>0</v>
      </c>
      <c r="H39" s="8" t="s">
        <v>781</v>
      </c>
      <c r="I39" s="12">
        <v>1082127888</v>
      </c>
      <c r="J39" s="13" t="s">
        <v>801</v>
      </c>
      <c r="K39" s="14">
        <v>2</v>
      </c>
      <c r="L39" s="15" t="s">
        <v>1288</v>
      </c>
      <c r="M39" s="16">
        <v>268000</v>
      </c>
      <c r="N39" s="16">
        <v>0</v>
      </c>
      <c r="O39" s="16">
        <f t="shared" si="2"/>
        <v>536000</v>
      </c>
      <c r="P39" s="14" t="s">
        <v>425</v>
      </c>
    </row>
    <row r="40" spans="1:16" x14ac:dyDescent="0.3">
      <c r="A40" s="8" t="s">
        <v>728</v>
      </c>
      <c r="B40" s="9">
        <v>1642111</v>
      </c>
      <c r="C40" s="10" t="s">
        <v>780</v>
      </c>
      <c r="D40" s="11">
        <v>44001</v>
      </c>
      <c r="E40" s="11">
        <v>44005</v>
      </c>
      <c r="F40" s="31">
        <v>44287000</v>
      </c>
      <c r="G40" s="32">
        <v>0</v>
      </c>
      <c r="H40" s="8" t="s">
        <v>781</v>
      </c>
      <c r="I40" s="12">
        <v>1082127888</v>
      </c>
      <c r="J40" s="13" t="s">
        <v>802</v>
      </c>
      <c r="K40" s="14">
        <v>1</v>
      </c>
      <c r="L40" s="15" t="s">
        <v>1288</v>
      </c>
      <c r="M40" s="16">
        <v>201000</v>
      </c>
      <c r="N40" s="16">
        <v>0</v>
      </c>
      <c r="O40" s="16">
        <f t="shared" si="2"/>
        <v>201000</v>
      </c>
      <c r="P40" s="14" t="s">
        <v>425</v>
      </c>
    </row>
    <row r="41" spans="1:16" x14ac:dyDescent="0.3">
      <c r="A41" s="8" t="s">
        <v>728</v>
      </c>
      <c r="B41" s="9">
        <v>1642111</v>
      </c>
      <c r="C41" s="10" t="s">
        <v>780</v>
      </c>
      <c r="D41" s="11">
        <v>44001</v>
      </c>
      <c r="E41" s="11">
        <v>44005</v>
      </c>
      <c r="F41" s="31">
        <v>44287000</v>
      </c>
      <c r="G41" s="32">
        <v>0</v>
      </c>
      <c r="H41" s="8" t="s">
        <v>781</v>
      </c>
      <c r="I41" s="12">
        <v>1082127888</v>
      </c>
      <c r="J41" s="13" t="s">
        <v>803</v>
      </c>
      <c r="K41" s="14">
        <v>1</v>
      </c>
      <c r="L41" s="15" t="s">
        <v>1288</v>
      </c>
      <c r="M41" s="16">
        <v>167500</v>
      </c>
      <c r="N41" s="16">
        <v>0</v>
      </c>
      <c r="O41" s="16">
        <f t="shared" si="2"/>
        <v>167500</v>
      </c>
      <c r="P41" s="14" t="s">
        <v>425</v>
      </c>
    </row>
    <row r="42" spans="1:16" x14ac:dyDescent="0.3">
      <c r="A42" s="8" t="s">
        <v>728</v>
      </c>
      <c r="B42" s="9">
        <v>1642111</v>
      </c>
      <c r="C42" s="10" t="s">
        <v>780</v>
      </c>
      <c r="D42" s="11">
        <v>44001</v>
      </c>
      <c r="E42" s="11">
        <v>44005</v>
      </c>
      <c r="F42" s="31">
        <v>44287000</v>
      </c>
      <c r="G42" s="32">
        <v>0</v>
      </c>
      <c r="H42" s="8" t="s">
        <v>781</v>
      </c>
      <c r="I42" s="12">
        <v>1082127888</v>
      </c>
      <c r="J42" s="13" t="s">
        <v>804</v>
      </c>
      <c r="K42" s="14">
        <v>1</v>
      </c>
      <c r="L42" s="15" t="s">
        <v>1288</v>
      </c>
      <c r="M42" s="16">
        <v>201000</v>
      </c>
      <c r="N42" s="16">
        <v>0</v>
      </c>
      <c r="O42" s="16">
        <f t="shared" si="2"/>
        <v>201000</v>
      </c>
      <c r="P42" s="14" t="s">
        <v>425</v>
      </c>
    </row>
    <row r="43" spans="1:16" x14ac:dyDescent="0.3">
      <c r="A43" s="8" t="s">
        <v>728</v>
      </c>
      <c r="B43" s="9">
        <v>1642111</v>
      </c>
      <c r="C43" s="10" t="s">
        <v>780</v>
      </c>
      <c r="D43" s="11">
        <v>44001</v>
      </c>
      <c r="E43" s="11">
        <v>44005</v>
      </c>
      <c r="F43" s="31">
        <v>44287000</v>
      </c>
      <c r="G43" s="32">
        <v>0</v>
      </c>
      <c r="H43" s="8" t="s">
        <v>781</v>
      </c>
      <c r="I43" s="12">
        <v>1082127888</v>
      </c>
      <c r="J43" s="13" t="s">
        <v>805</v>
      </c>
      <c r="K43" s="14">
        <v>1</v>
      </c>
      <c r="L43" s="15" t="s">
        <v>1288</v>
      </c>
      <c r="M43" s="16">
        <v>201000</v>
      </c>
      <c r="N43" s="16">
        <v>0</v>
      </c>
      <c r="O43" s="16">
        <f t="shared" si="2"/>
        <v>201000</v>
      </c>
      <c r="P43" s="14" t="s">
        <v>425</v>
      </c>
    </row>
    <row r="44" spans="1:16" x14ac:dyDescent="0.3">
      <c r="A44" s="8" t="s">
        <v>728</v>
      </c>
      <c r="B44" s="9">
        <v>1642111</v>
      </c>
      <c r="C44" s="10" t="s">
        <v>780</v>
      </c>
      <c r="D44" s="11">
        <v>44001</v>
      </c>
      <c r="E44" s="11">
        <v>44005</v>
      </c>
      <c r="F44" s="31">
        <v>44287000</v>
      </c>
      <c r="G44" s="32">
        <v>0</v>
      </c>
      <c r="H44" s="8" t="s">
        <v>781</v>
      </c>
      <c r="I44" s="12">
        <v>1082127888</v>
      </c>
      <c r="J44" s="13" t="s">
        <v>806</v>
      </c>
      <c r="K44" s="14">
        <v>3</v>
      </c>
      <c r="L44" s="15" t="s">
        <v>1288</v>
      </c>
      <c r="M44" s="16">
        <v>670000</v>
      </c>
      <c r="N44" s="16">
        <v>0</v>
      </c>
      <c r="O44" s="16">
        <f t="shared" si="2"/>
        <v>2010000</v>
      </c>
      <c r="P44" s="14" t="s">
        <v>425</v>
      </c>
    </row>
    <row r="45" spans="1:16" x14ac:dyDescent="0.3">
      <c r="A45" s="8" t="s">
        <v>728</v>
      </c>
      <c r="B45" s="9">
        <v>1642111</v>
      </c>
      <c r="C45" s="10" t="s">
        <v>780</v>
      </c>
      <c r="D45" s="11">
        <v>44001</v>
      </c>
      <c r="E45" s="11">
        <v>44005</v>
      </c>
      <c r="F45" s="31">
        <v>44287000</v>
      </c>
      <c r="G45" s="32">
        <v>0</v>
      </c>
      <c r="H45" s="8" t="s">
        <v>781</v>
      </c>
      <c r="I45" s="12">
        <v>1082127888</v>
      </c>
      <c r="J45" s="13" t="s">
        <v>807</v>
      </c>
      <c r="K45" s="14">
        <v>1</v>
      </c>
      <c r="L45" s="15" t="s">
        <v>1288</v>
      </c>
      <c r="M45" s="16">
        <v>234500</v>
      </c>
      <c r="N45" s="16">
        <v>0</v>
      </c>
      <c r="O45" s="16">
        <f t="shared" si="2"/>
        <v>234500</v>
      </c>
      <c r="P45" s="14" t="s">
        <v>425</v>
      </c>
    </row>
    <row r="46" spans="1:16" x14ac:dyDescent="0.3">
      <c r="A46" s="8" t="s">
        <v>728</v>
      </c>
      <c r="B46" s="9">
        <v>1642111</v>
      </c>
      <c r="C46" s="10" t="s">
        <v>780</v>
      </c>
      <c r="D46" s="11">
        <v>44001</v>
      </c>
      <c r="E46" s="11">
        <v>44005</v>
      </c>
      <c r="F46" s="31">
        <v>44287000</v>
      </c>
      <c r="G46" s="32">
        <v>0</v>
      </c>
      <c r="H46" s="8" t="s">
        <v>781</v>
      </c>
      <c r="I46" s="12">
        <v>1082127888</v>
      </c>
      <c r="J46" s="13" t="s">
        <v>808</v>
      </c>
      <c r="K46" s="14">
        <v>1</v>
      </c>
      <c r="L46" s="15" t="s">
        <v>1288</v>
      </c>
      <c r="M46" s="16">
        <v>234500</v>
      </c>
      <c r="N46" s="16">
        <v>0</v>
      </c>
      <c r="O46" s="16">
        <f t="shared" si="2"/>
        <v>234500</v>
      </c>
      <c r="P46" s="14" t="s">
        <v>425</v>
      </c>
    </row>
    <row r="47" spans="1:16" x14ac:dyDescent="0.3">
      <c r="A47" s="8" t="s">
        <v>728</v>
      </c>
      <c r="B47" s="9">
        <v>1642111</v>
      </c>
      <c r="C47" s="10" t="s">
        <v>780</v>
      </c>
      <c r="D47" s="11">
        <v>44001</v>
      </c>
      <c r="E47" s="11">
        <v>44005</v>
      </c>
      <c r="F47" s="31">
        <v>44287000</v>
      </c>
      <c r="G47" s="32">
        <v>0</v>
      </c>
      <c r="H47" s="8" t="s">
        <v>781</v>
      </c>
      <c r="I47" s="12">
        <v>1082127888</v>
      </c>
      <c r="J47" s="13" t="s">
        <v>809</v>
      </c>
      <c r="K47" s="14">
        <v>2</v>
      </c>
      <c r="L47" s="15" t="s">
        <v>1288</v>
      </c>
      <c r="M47" s="16">
        <v>234500</v>
      </c>
      <c r="N47" s="16">
        <v>0</v>
      </c>
      <c r="O47" s="16">
        <f t="shared" si="2"/>
        <v>469000</v>
      </c>
      <c r="P47" s="14" t="s">
        <v>425</v>
      </c>
    </row>
    <row r="48" spans="1:16" x14ac:dyDescent="0.3">
      <c r="A48" s="8" t="s">
        <v>728</v>
      </c>
      <c r="B48" s="9">
        <v>1642111</v>
      </c>
      <c r="C48" s="10" t="s">
        <v>780</v>
      </c>
      <c r="D48" s="11">
        <v>44001</v>
      </c>
      <c r="E48" s="11">
        <v>44005</v>
      </c>
      <c r="F48" s="31">
        <v>44287000</v>
      </c>
      <c r="G48" s="32">
        <v>0</v>
      </c>
      <c r="H48" s="8" t="s">
        <v>781</v>
      </c>
      <c r="I48" s="12">
        <v>1082127888</v>
      </c>
      <c r="J48" s="13" t="s">
        <v>809</v>
      </c>
      <c r="K48" s="14">
        <v>1</v>
      </c>
      <c r="L48" s="15" t="s">
        <v>1288</v>
      </c>
      <c r="M48" s="16">
        <v>234500</v>
      </c>
      <c r="N48" s="16">
        <v>0</v>
      </c>
      <c r="O48" s="16">
        <f t="shared" si="2"/>
        <v>234500</v>
      </c>
      <c r="P48" s="14" t="s">
        <v>425</v>
      </c>
    </row>
    <row r="49" spans="1:16" x14ac:dyDescent="0.3">
      <c r="A49" s="8" t="s">
        <v>728</v>
      </c>
      <c r="B49" s="9">
        <v>1642111</v>
      </c>
      <c r="C49" s="10" t="s">
        <v>780</v>
      </c>
      <c r="D49" s="11">
        <v>44001</v>
      </c>
      <c r="E49" s="11">
        <v>44005</v>
      </c>
      <c r="F49" s="31">
        <v>44287000</v>
      </c>
      <c r="G49" s="32">
        <v>0</v>
      </c>
      <c r="H49" s="8" t="s">
        <v>781</v>
      </c>
      <c r="I49" s="12">
        <v>1082127888</v>
      </c>
      <c r="J49" s="13" t="s">
        <v>810</v>
      </c>
      <c r="K49" s="14">
        <v>1</v>
      </c>
      <c r="L49" s="15" t="s">
        <v>1288</v>
      </c>
      <c r="M49" s="16">
        <v>234500</v>
      </c>
      <c r="N49" s="16">
        <v>0</v>
      </c>
      <c r="O49" s="16">
        <f t="shared" si="2"/>
        <v>234500</v>
      </c>
      <c r="P49" s="14" t="s">
        <v>425</v>
      </c>
    </row>
    <row r="50" spans="1:16" x14ac:dyDescent="0.3">
      <c r="A50" s="8" t="s">
        <v>728</v>
      </c>
      <c r="B50" s="9">
        <v>1642111</v>
      </c>
      <c r="C50" s="10" t="s">
        <v>780</v>
      </c>
      <c r="D50" s="11">
        <v>44001</v>
      </c>
      <c r="E50" s="11">
        <v>44005</v>
      </c>
      <c r="F50" s="31">
        <v>44287000</v>
      </c>
      <c r="G50" s="32">
        <v>0</v>
      </c>
      <c r="H50" s="8" t="s">
        <v>781</v>
      </c>
      <c r="I50" s="12">
        <v>1082127888</v>
      </c>
      <c r="J50" s="13" t="s">
        <v>811</v>
      </c>
      <c r="K50" s="14">
        <v>1</v>
      </c>
      <c r="L50" s="15" t="s">
        <v>1288</v>
      </c>
      <c r="M50" s="16">
        <v>234500</v>
      </c>
      <c r="N50" s="16">
        <v>0</v>
      </c>
      <c r="O50" s="16">
        <f t="shared" si="2"/>
        <v>234500</v>
      </c>
      <c r="P50" s="14" t="s">
        <v>425</v>
      </c>
    </row>
    <row r="51" spans="1:16" x14ac:dyDescent="0.3">
      <c r="A51" s="8" t="s">
        <v>728</v>
      </c>
      <c r="B51" s="9">
        <v>1642111</v>
      </c>
      <c r="C51" s="10" t="s">
        <v>780</v>
      </c>
      <c r="D51" s="11">
        <v>44001</v>
      </c>
      <c r="E51" s="11">
        <v>44005</v>
      </c>
      <c r="F51" s="31">
        <v>44287000</v>
      </c>
      <c r="G51" s="32">
        <v>0</v>
      </c>
      <c r="H51" s="8" t="s">
        <v>781</v>
      </c>
      <c r="I51" s="12">
        <v>1082127888</v>
      </c>
      <c r="J51" s="13" t="s">
        <v>812</v>
      </c>
      <c r="K51" s="14">
        <v>1</v>
      </c>
      <c r="L51" s="15" t="s">
        <v>1288</v>
      </c>
      <c r="M51" s="16">
        <v>234500</v>
      </c>
      <c r="N51" s="16">
        <v>0</v>
      </c>
      <c r="O51" s="16">
        <f t="shared" si="2"/>
        <v>234500</v>
      </c>
      <c r="P51" s="14" t="s">
        <v>425</v>
      </c>
    </row>
    <row r="52" spans="1:16" x14ac:dyDescent="0.3">
      <c r="A52" s="8" t="s">
        <v>728</v>
      </c>
      <c r="B52" s="9">
        <v>1642111</v>
      </c>
      <c r="C52" s="10" t="s">
        <v>780</v>
      </c>
      <c r="D52" s="11">
        <v>44001</v>
      </c>
      <c r="E52" s="11">
        <v>44005</v>
      </c>
      <c r="F52" s="31">
        <v>44287000</v>
      </c>
      <c r="G52" s="32">
        <v>0</v>
      </c>
      <c r="H52" s="8" t="s">
        <v>781</v>
      </c>
      <c r="I52" s="12">
        <v>1082127888</v>
      </c>
      <c r="J52" s="13" t="s">
        <v>813</v>
      </c>
      <c r="K52" s="14">
        <v>1</v>
      </c>
      <c r="L52" s="15" t="s">
        <v>1288</v>
      </c>
      <c r="M52" s="16">
        <v>234500</v>
      </c>
      <c r="N52" s="16">
        <v>0</v>
      </c>
      <c r="O52" s="16">
        <f t="shared" si="2"/>
        <v>234500</v>
      </c>
      <c r="P52" s="14" t="s">
        <v>425</v>
      </c>
    </row>
    <row r="53" spans="1:16" x14ac:dyDescent="0.3">
      <c r="A53" s="8" t="s">
        <v>728</v>
      </c>
      <c r="B53" s="9">
        <v>1642111</v>
      </c>
      <c r="C53" s="10" t="s">
        <v>780</v>
      </c>
      <c r="D53" s="11">
        <v>44001</v>
      </c>
      <c r="E53" s="11">
        <v>44005</v>
      </c>
      <c r="F53" s="31">
        <v>44287000</v>
      </c>
      <c r="G53" s="32">
        <v>0</v>
      </c>
      <c r="H53" s="8" t="s">
        <v>781</v>
      </c>
      <c r="I53" s="12">
        <v>1082127888</v>
      </c>
      <c r="J53" s="13" t="s">
        <v>814</v>
      </c>
      <c r="K53" s="14">
        <v>1</v>
      </c>
      <c r="L53" s="15" t="s">
        <v>1288</v>
      </c>
      <c r="M53" s="16">
        <v>234500</v>
      </c>
      <c r="N53" s="16">
        <v>0</v>
      </c>
      <c r="O53" s="16">
        <f t="shared" si="2"/>
        <v>234500</v>
      </c>
      <c r="P53" s="14" t="s">
        <v>425</v>
      </c>
    </row>
    <row r="54" spans="1:16" x14ac:dyDescent="0.3">
      <c r="A54" s="8" t="s">
        <v>728</v>
      </c>
      <c r="B54" s="9">
        <v>1642111</v>
      </c>
      <c r="C54" s="10" t="s">
        <v>780</v>
      </c>
      <c r="D54" s="11">
        <v>44001</v>
      </c>
      <c r="E54" s="11">
        <v>44005</v>
      </c>
      <c r="F54" s="31">
        <v>44287000</v>
      </c>
      <c r="G54" s="32">
        <v>0</v>
      </c>
      <c r="H54" s="8" t="s">
        <v>781</v>
      </c>
      <c r="I54" s="12">
        <v>1082127888</v>
      </c>
      <c r="J54" s="13" t="s">
        <v>815</v>
      </c>
      <c r="K54" s="14">
        <v>1</v>
      </c>
      <c r="L54" s="15" t="s">
        <v>1288</v>
      </c>
      <c r="M54" s="16">
        <v>234500</v>
      </c>
      <c r="N54" s="16">
        <v>0</v>
      </c>
      <c r="O54" s="16">
        <f t="shared" si="2"/>
        <v>234500</v>
      </c>
      <c r="P54" s="14" t="s">
        <v>425</v>
      </c>
    </row>
    <row r="55" spans="1:16" x14ac:dyDescent="0.3">
      <c r="A55" s="8" t="s">
        <v>728</v>
      </c>
      <c r="B55" s="9">
        <v>1642111</v>
      </c>
      <c r="C55" s="10" t="s">
        <v>780</v>
      </c>
      <c r="D55" s="11">
        <v>44001</v>
      </c>
      <c r="E55" s="11">
        <v>44005</v>
      </c>
      <c r="F55" s="31">
        <v>44287000</v>
      </c>
      <c r="G55" s="32">
        <v>0</v>
      </c>
      <c r="H55" s="8" t="s">
        <v>781</v>
      </c>
      <c r="I55" s="12">
        <v>1082127888</v>
      </c>
      <c r="J55" s="13" t="s">
        <v>816</v>
      </c>
      <c r="K55" s="14">
        <v>1</v>
      </c>
      <c r="L55" s="15" t="s">
        <v>1288</v>
      </c>
      <c r="M55" s="16">
        <v>234500</v>
      </c>
      <c r="N55" s="16">
        <v>0</v>
      </c>
      <c r="O55" s="16">
        <f t="shared" si="2"/>
        <v>234500</v>
      </c>
      <c r="P55" s="14" t="s">
        <v>425</v>
      </c>
    </row>
    <row r="56" spans="1:16" x14ac:dyDescent="0.3">
      <c r="A56" s="8" t="s">
        <v>728</v>
      </c>
      <c r="B56" s="9">
        <v>1642111</v>
      </c>
      <c r="C56" s="10" t="s">
        <v>780</v>
      </c>
      <c r="D56" s="11">
        <v>44001</v>
      </c>
      <c r="E56" s="11">
        <v>44005</v>
      </c>
      <c r="F56" s="31">
        <v>44287000</v>
      </c>
      <c r="G56" s="32">
        <v>0</v>
      </c>
      <c r="H56" s="8" t="s">
        <v>781</v>
      </c>
      <c r="I56" s="12">
        <v>1082127888</v>
      </c>
      <c r="J56" s="13" t="s">
        <v>817</v>
      </c>
      <c r="K56" s="14">
        <v>1</v>
      </c>
      <c r="L56" s="15" t="s">
        <v>1288</v>
      </c>
      <c r="M56" s="16">
        <v>234500</v>
      </c>
      <c r="N56" s="16">
        <v>0</v>
      </c>
      <c r="O56" s="16">
        <f t="shared" si="2"/>
        <v>234500</v>
      </c>
      <c r="P56" s="14" t="s">
        <v>425</v>
      </c>
    </row>
    <row r="57" spans="1:16" x14ac:dyDescent="0.3">
      <c r="A57" s="8" t="s">
        <v>728</v>
      </c>
      <c r="B57" s="9">
        <v>1642111</v>
      </c>
      <c r="C57" s="10" t="s">
        <v>780</v>
      </c>
      <c r="D57" s="11">
        <v>44001</v>
      </c>
      <c r="E57" s="11">
        <v>44005</v>
      </c>
      <c r="F57" s="31">
        <v>44287000</v>
      </c>
      <c r="G57" s="32">
        <v>0</v>
      </c>
      <c r="H57" s="8" t="s">
        <v>781</v>
      </c>
      <c r="I57" s="12">
        <v>1082127888</v>
      </c>
      <c r="J57" s="13" t="s">
        <v>818</v>
      </c>
      <c r="K57" s="14">
        <v>1</v>
      </c>
      <c r="L57" s="15" t="s">
        <v>1288</v>
      </c>
      <c r="M57" s="16">
        <v>234500</v>
      </c>
      <c r="N57" s="16">
        <v>0</v>
      </c>
      <c r="O57" s="16">
        <f t="shared" si="2"/>
        <v>234500</v>
      </c>
      <c r="P57" s="14" t="s">
        <v>425</v>
      </c>
    </row>
    <row r="58" spans="1:16" x14ac:dyDescent="0.3">
      <c r="A58" s="8" t="s">
        <v>728</v>
      </c>
      <c r="B58" s="9">
        <v>1642111</v>
      </c>
      <c r="C58" s="10" t="s">
        <v>780</v>
      </c>
      <c r="D58" s="11">
        <v>44001</v>
      </c>
      <c r="E58" s="11">
        <v>44005</v>
      </c>
      <c r="F58" s="31">
        <v>44287000</v>
      </c>
      <c r="G58" s="32">
        <v>0</v>
      </c>
      <c r="H58" s="8" t="s">
        <v>781</v>
      </c>
      <c r="I58" s="12">
        <v>1082127888</v>
      </c>
      <c r="J58" s="13" t="s">
        <v>819</v>
      </c>
      <c r="K58" s="14">
        <v>2</v>
      </c>
      <c r="L58" s="15" t="s">
        <v>1288</v>
      </c>
      <c r="M58" s="16">
        <v>301500</v>
      </c>
      <c r="N58" s="16">
        <v>0</v>
      </c>
      <c r="O58" s="16">
        <f t="shared" si="2"/>
        <v>603000</v>
      </c>
      <c r="P58" s="14" t="s">
        <v>425</v>
      </c>
    </row>
    <row r="59" spans="1:16" x14ac:dyDescent="0.3">
      <c r="A59" s="8" t="s">
        <v>728</v>
      </c>
      <c r="B59" s="9">
        <v>1642111</v>
      </c>
      <c r="C59" s="10" t="s">
        <v>780</v>
      </c>
      <c r="D59" s="11">
        <v>44001</v>
      </c>
      <c r="E59" s="11">
        <v>44005</v>
      </c>
      <c r="F59" s="31">
        <v>44287000</v>
      </c>
      <c r="G59" s="32">
        <v>0</v>
      </c>
      <c r="H59" s="8" t="s">
        <v>781</v>
      </c>
      <c r="I59" s="12">
        <v>1082127888</v>
      </c>
      <c r="J59" s="13" t="s">
        <v>820</v>
      </c>
      <c r="K59" s="14">
        <v>1</v>
      </c>
      <c r="L59" s="15" t="s">
        <v>1288</v>
      </c>
      <c r="M59" s="16">
        <v>234500</v>
      </c>
      <c r="N59" s="16">
        <v>0</v>
      </c>
      <c r="O59" s="16">
        <f t="shared" si="2"/>
        <v>234500</v>
      </c>
      <c r="P59" s="14" t="s">
        <v>425</v>
      </c>
    </row>
    <row r="60" spans="1:16" x14ac:dyDescent="0.3">
      <c r="A60" s="8" t="s">
        <v>728</v>
      </c>
      <c r="B60" s="9">
        <v>1642111</v>
      </c>
      <c r="C60" s="10" t="s">
        <v>780</v>
      </c>
      <c r="D60" s="11">
        <v>44001</v>
      </c>
      <c r="E60" s="11">
        <v>44005</v>
      </c>
      <c r="F60" s="31">
        <v>44287000</v>
      </c>
      <c r="G60" s="32">
        <v>0</v>
      </c>
      <c r="H60" s="8" t="s">
        <v>781</v>
      </c>
      <c r="I60" s="12">
        <v>1082127888</v>
      </c>
      <c r="J60" s="13" t="s">
        <v>821</v>
      </c>
      <c r="K60" s="14">
        <v>1</v>
      </c>
      <c r="L60" s="15" t="s">
        <v>1288</v>
      </c>
      <c r="M60" s="16">
        <v>234500</v>
      </c>
      <c r="N60" s="16">
        <v>0</v>
      </c>
      <c r="O60" s="16">
        <f t="shared" si="2"/>
        <v>234500</v>
      </c>
      <c r="P60" s="14" t="s">
        <v>425</v>
      </c>
    </row>
    <row r="61" spans="1:16" x14ac:dyDescent="0.3">
      <c r="A61" s="8" t="s">
        <v>728</v>
      </c>
      <c r="B61" s="9">
        <v>1642111</v>
      </c>
      <c r="C61" s="10" t="s">
        <v>780</v>
      </c>
      <c r="D61" s="11">
        <v>44001</v>
      </c>
      <c r="E61" s="11">
        <v>44005</v>
      </c>
      <c r="F61" s="31">
        <v>44287000</v>
      </c>
      <c r="G61" s="32">
        <v>0</v>
      </c>
      <c r="H61" s="8" t="s">
        <v>781</v>
      </c>
      <c r="I61" s="12">
        <v>1082127888</v>
      </c>
      <c r="J61" s="13" t="s">
        <v>822</v>
      </c>
      <c r="K61" s="14">
        <v>1</v>
      </c>
      <c r="L61" s="15" t="s">
        <v>1288</v>
      </c>
      <c r="M61" s="16">
        <v>234500</v>
      </c>
      <c r="N61" s="16">
        <v>0</v>
      </c>
      <c r="O61" s="16">
        <f t="shared" si="2"/>
        <v>234500</v>
      </c>
      <c r="P61" s="14" t="s">
        <v>425</v>
      </c>
    </row>
    <row r="62" spans="1:16" x14ac:dyDescent="0.3">
      <c r="A62" s="8" t="s">
        <v>728</v>
      </c>
      <c r="B62" s="9">
        <v>1642111</v>
      </c>
      <c r="C62" s="10" t="s">
        <v>780</v>
      </c>
      <c r="D62" s="11">
        <v>44001</v>
      </c>
      <c r="E62" s="11">
        <v>44005</v>
      </c>
      <c r="F62" s="31">
        <v>44287000</v>
      </c>
      <c r="G62" s="32">
        <v>0</v>
      </c>
      <c r="H62" s="8" t="s">
        <v>781</v>
      </c>
      <c r="I62" s="12">
        <v>1082127888</v>
      </c>
      <c r="J62" s="13" t="s">
        <v>823</v>
      </c>
      <c r="K62" s="14">
        <v>2</v>
      </c>
      <c r="L62" s="15" t="s">
        <v>1288</v>
      </c>
      <c r="M62" s="16">
        <v>569500</v>
      </c>
      <c r="N62" s="16">
        <v>0</v>
      </c>
      <c r="O62" s="16">
        <f t="shared" si="2"/>
        <v>1139000</v>
      </c>
      <c r="P62" s="14" t="s">
        <v>425</v>
      </c>
    </row>
    <row r="63" spans="1:16" x14ac:dyDescent="0.3">
      <c r="A63" s="8" t="s">
        <v>728</v>
      </c>
      <c r="B63" s="9">
        <v>1642111</v>
      </c>
      <c r="C63" s="10" t="s">
        <v>780</v>
      </c>
      <c r="D63" s="11">
        <v>44001</v>
      </c>
      <c r="E63" s="11">
        <v>44005</v>
      </c>
      <c r="F63" s="31">
        <v>44287000</v>
      </c>
      <c r="G63" s="32">
        <v>0</v>
      </c>
      <c r="H63" s="8" t="s">
        <v>781</v>
      </c>
      <c r="I63" s="12">
        <v>1082127888</v>
      </c>
      <c r="J63" s="13" t="s">
        <v>824</v>
      </c>
      <c r="K63" s="14">
        <v>1</v>
      </c>
      <c r="L63" s="15" t="s">
        <v>1288</v>
      </c>
      <c r="M63" s="16">
        <v>301500</v>
      </c>
      <c r="N63" s="16">
        <v>0</v>
      </c>
      <c r="O63" s="16">
        <f t="shared" si="2"/>
        <v>301500</v>
      </c>
      <c r="P63" s="14" t="s">
        <v>425</v>
      </c>
    </row>
    <row r="64" spans="1:16" x14ac:dyDescent="0.3">
      <c r="A64" s="8" t="s">
        <v>728</v>
      </c>
      <c r="B64" s="9">
        <v>1642111</v>
      </c>
      <c r="C64" s="10" t="s">
        <v>780</v>
      </c>
      <c r="D64" s="11">
        <v>44001</v>
      </c>
      <c r="E64" s="11">
        <v>44005</v>
      </c>
      <c r="F64" s="31">
        <v>44287000</v>
      </c>
      <c r="G64" s="32">
        <v>0</v>
      </c>
      <c r="H64" s="8" t="s">
        <v>781</v>
      </c>
      <c r="I64" s="12">
        <v>1082127888</v>
      </c>
      <c r="J64" s="13" t="s">
        <v>825</v>
      </c>
      <c r="K64" s="14">
        <v>1</v>
      </c>
      <c r="L64" s="15" t="s">
        <v>1288</v>
      </c>
      <c r="M64" s="16">
        <v>301500</v>
      </c>
      <c r="N64" s="16">
        <v>0</v>
      </c>
      <c r="O64" s="16">
        <f t="shared" si="2"/>
        <v>301500</v>
      </c>
      <c r="P64" s="14" t="s">
        <v>425</v>
      </c>
    </row>
    <row r="65" spans="1:16" x14ac:dyDescent="0.3">
      <c r="A65" s="8" t="s">
        <v>728</v>
      </c>
      <c r="B65" s="9">
        <v>1642111</v>
      </c>
      <c r="C65" s="10" t="s">
        <v>780</v>
      </c>
      <c r="D65" s="11">
        <v>44001</v>
      </c>
      <c r="E65" s="11">
        <v>44005</v>
      </c>
      <c r="F65" s="31">
        <v>44287000</v>
      </c>
      <c r="G65" s="32">
        <v>0</v>
      </c>
      <c r="H65" s="8" t="s">
        <v>781</v>
      </c>
      <c r="I65" s="12">
        <v>1082127888</v>
      </c>
      <c r="J65" s="13" t="s">
        <v>826</v>
      </c>
      <c r="K65" s="14">
        <v>2</v>
      </c>
      <c r="L65" s="15" t="s">
        <v>1288</v>
      </c>
      <c r="M65" s="16">
        <v>234500</v>
      </c>
      <c r="N65" s="16">
        <v>0</v>
      </c>
      <c r="O65" s="16">
        <f t="shared" si="2"/>
        <v>469000</v>
      </c>
      <c r="P65" s="14" t="s">
        <v>425</v>
      </c>
    </row>
    <row r="66" spans="1:16" x14ac:dyDescent="0.3">
      <c r="A66" s="8" t="s">
        <v>728</v>
      </c>
      <c r="B66" s="9">
        <v>1642111</v>
      </c>
      <c r="C66" s="10" t="s">
        <v>780</v>
      </c>
      <c r="D66" s="11">
        <v>44001</v>
      </c>
      <c r="E66" s="11">
        <v>44005</v>
      </c>
      <c r="F66" s="31">
        <v>44287000</v>
      </c>
      <c r="G66" s="32">
        <v>0</v>
      </c>
      <c r="H66" s="8" t="s">
        <v>781</v>
      </c>
      <c r="I66" s="12">
        <v>1082127888</v>
      </c>
      <c r="J66" s="13" t="s">
        <v>827</v>
      </c>
      <c r="K66" s="14">
        <v>2</v>
      </c>
      <c r="L66" s="15" t="s">
        <v>1288</v>
      </c>
      <c r="M66" s="16">
        <v>167500</v>
      </c>
      <c r="N66" s="16">
        <v>0</v>
      </c>
      <c r="O66" s="16">
        <f t="shared" si="2"/>
        <v>335000</v>
      </c>
      <c r="P66" s="14" t="s">
        <v>425</v>
      </c>
    </row>
    <row r="67" spans="1:16" x14ac:dyDescent="0.3">
      <c r="A67" s="8" t="s">
        <v>728</v>
      </c>
      <c r="B67" s="9">
        <v>1642111</v>
      </c>
      <c r="C67" s="10" t="s">
        <v>780</v>
      </c>
      <c r="D67" s="11">
        <v>44001</v>
      </c>
      <c r="E67" s="11">
        <v>44005</v>
      </c>
      <c r="F67" s="31">
        <v>44287000</v>
      </c>
      <c r="G67" s="32">
        <v>0</v>
      </c>
      <c r="H67" s="8" t="s">
        <v>781</v>
      </c>
      <c r="I67" s="12">
        <v>1082127888</v>
      </c>
      <c r="J67" s="13" t="s">
        <v>828</v>
      </c>
      <c r="K67" s="14">
        <v>1</v>
      </c>
      <c r="L67" s="15" t="s">
        <v>1288</v>
      </c>
      <c r="M67" s="16">
        <v>234500</v>
      </c>
      <c r="N67" s="16">
        <v>0</v>
      </c>
      <c r="O67" s="16">
        <f t="shared" si="2"/>
        <v>234500</v>
      </c>
      <c r="P67" s="14" t="s">
        <v>425</v>
      </c>
    </row>
    <row r="68" spans="1:16" x14ac:dyDescent="0.3">
      <c r="A68" s="8" t="s">
        <v>728</v>
      </c>
      <c r="B68" s="9">
        <v>1642111</v>
      </c>
      <c r="C68" s="10" t="s">
        <v>780</v>
      </c>
      <c r="D68" s="11">
        <v>44001</v>
      </c>
      <c r="E68" s="11">
        <v>44005</v>
      </c>
      <c r="F68" s="31">
        <v>44287000</v>
      </c>
      <c r="G68" s="32">
        <v>0</v>
      </c>
      <c r="H68" s="8" t="s">
        <v>781</v>
      </c>
      <c r="I68" s="12">
        <v>1082127888</v>
      </c>
      <c r="J68" s="13" t="s">
        <v>829</v>
      </c>
      <c r="K68" s="14">
        <v>1</v>
      </c>
      <c r="L68" s="15" t="s">
        <v>1288</v>
      </c>
      <c r="M68" s="16">
        <v>234500</v>
      </c>
      <c r="N68" s="16">
        <v>0</v>
      </c>
      <c r="O68" s="16">
        <f t="shared" si="2"/>
        <v>234500</v>
      </c>
      <c r="P68" s="14" t="s">
        <v>425</v>
      </c>
    </row>
    <row r="69" spans="1:16" x14ac:dyDescent="0.3">
      <c r="A69" s="8" t="s">
        <v>728</v>
      </c>
      <c r="B69" s="9">
        <v>1642111</v>
      </c>
      <c r="C69" s="10" t="s">
        <v>780</v>
      </c>
      <c r="D69" s="11">
        <v>44001</v>
      </c>
      <c r="E69" s="11">
        <v>44005</v>
      </c>
      <c r="F69" s="31">
        <v>44287000</v>
      </c>
      <c r="G69" s="32">
        <v>0</v>
      </c>
      <c r="H69" s="8" t="s">
        <v>781</v>
      </c>
      <c r="I69" s="12">
        <v>1082127888</v>
      </c>
      <c r="J69" s="13" t="s">
        <v>830</v>
      </c>
      <c r="K69" s="14">
        <v>1</v>
      </c>
      <c r="L69" s="15" t="s">
        <v>1288</v>
      </c>
      <c r="M69" s="16">
        <v>234500</v>
      </c>
      <c r="N69" s="16">
        <v>0</v>
      </c>
      <c r="O69" s="16">
        <f t="shared" si="2"/>
        <v>234500</v>
      </c>
      <c r="P69" s="14" t="s">
        <v>425</v>
      </c>
    </row>
    <row r="70" spans="1:16" x14ac:dyDescent="0.3">
      <c r="A70" s="8" t="s">
        <v>728</v>
      </c>
      <c r="B70" s="9">
        <v>1642111</v>
      </c>
      <c r="C70" s="10" t="s">
        <v>780</v>
      </c>
      <c r="D70" s="11">
        <v>44001</v>
      </c>
      <c r="E70" s="11">
        <v>44005</v>
      </c>
      <c r="F70" s="31">
        <v>44287000</v>
      </c>
      <c r="G70" s="32">
        <v>0</v>
      </c>
      <c r="H70" s="8" t="s">
        <v>781</v>
      </c>
      <c r="I70" s="12">
        <v>1082127888</v>
      </c>
      <c r="J70" s="13" t="s">
        <v>831</v>
      </c>
      <c r="K70" s="14">
        <v>1</v>
      </c>
      <c r="L70" s="15" t="s">
        <v>1288</v>
      </c>
      <c r="M70" s="16">
        <v>234500</v>
      </c>
      <c r="N70" s="16">
        <v>0</v>
      </c>
      <c r="O70" s="16">
        <f t="shared" si="2"/>
        <v>234500</v>
      </c>
      <c r="P70" s="14" t="s">
        <v>425</v>
      </c>
    </row>
    <row r="71" spans="1:16" x14ac:dyDescent="0.3">
      <c r="A71" s="8" t="s">
        <v>728</v>
      </c>
      <c r="B71" s="9">
        <v>1642111</v>
      </c>
      <c r="C71" s="10" t="s">
        <v>780</v>
      </c>
      <c r="D71" s="11">
        <v>44001</v>
      </c>
      <c r="E71" s="11">
        <v>44005</v>
      </c>
      <c r="F71" s="31">
        <v>44287000</v>
      </c>
      <c r="G71" s="32">
        <v>0</v>
      </c>
      <c r="H71" s="8" t="s">
        <v>781</v>
      </c>
      <c r="I71" s="12">
        <v>1082127888</v>
      </c>
      <c r="J71" s="13" t="s">
        <v>832</v>
      </c>
      <c r="K71" s="14">
        <v>1</v>
      </c>
      <c r="L71" s="15" t="s">
        <v>1288</v>
      </c>
      <c r="M71" s="16">
        <v>234500</v>
      </c>
      <c r="N71" s="16">
        <v>0</v>
      </c>
      <c r="O71" s="16">
        <f t="shared" si="2"/>
        <v>234500</v>
      </c>
      <c r="P71" s="14" t="s">
        <v>425</v>
      </c>
    </row>
    <row r="72" spans="1:16" x14ac:dyDescent="0.3">
      <c r="A72" s="8" t="s">
        <v>728</v>
      </c>
      <c r="B72" s="9">
        <v>1642111</v>
      </c>
      <c r="C72" s="10" t="s">
        <v>780</v>
      </c>
      <c r="D72" s="11">
        <v>44001</v>
      </c>
      <c r="E72" s="11">
        <v>44005</v>
      </c>
      <c r="F72" s="31">
        <v>44287000</v>
      </c>
      <c r="G72" s="32">
        <v>0</v>
      </c>
      <c r="H72" s="8" t="s">
        <v>781</v>
      </c>
      <c r="I72" s="12">
        <v>1082127888</v>
      </c>
      <c r="J72" s="13" t="s">
        <v>833</v>
      </c>
      <c r="K72" s="14">
        <v>2</v>
      </c>
      <c r="L72" s="15" t="s">
        <v>1288</v>
      </c>
      <c r="M72" s="16">
        <v>234500</v>
      </c>
      <c r="N72" s="16">
        <v>0</v>
      </c>
      <c r="O72" s="16">
        <f t="shared" si="2"/>
        <v>469000</v>
      </c>
      <c r="P72" s="14" t="s">
        <v>425</v>
      </c>
    </row>
    <row r="73" spans="1:16" x14ac:dyDescent="0.3">
      <c r="A73" s="8" t="s">
        <v>728</v>
      </c>
      <c r="B73" s="9">
        <v>1642111</v>
      </c>
      <c r="C73" s="10" t="s">
        <v>780</v>
      </c>
      <c r="D73" s="11">
        <v>44001</v>
      </c>
      <c r="E73" s="11">
        <v>44005</v>
      </c>
      <c r="F73" s="31">
        <v>44287000</v>
      </c>
      <c r="G73" s="32">
        <v>0</v>
      </c>
      <c r="H73" s="8" t="s">
        <v>781</v>
      </c>
      <c r="I73" s="12">
        <v>1082127888</v>
      </c>
      <c r="J73" s="13" t="s">
        <v>834</v>
      </c>
      <c r="K73" s="14">
        <v>2</v>
      </c>
      <c r="L73" s="15" t="s">
        <v>1288</v>
      </c>
      <c r="M73" s="16">
        <v>201000</v>
      </c>
      <c r="N73" s="16">
        <v>0</v>
      </c>
      <c r="O73" s="16">
        <f t="shared" si="2"/>
        <v>402000</v>
      </c>
      <c r="P73" s="14" t="s">
        <v>425</v>
      </c>
    </row>
    <row r="74" spans="1:16" x14ac:dyDescent="0.3">
      <c r="A74" s="8" t="s">
        <v>728</v>
      </c>
      <c r="B74" s="9">
        <v>1642111</v>
      </c>
      <c r="C74" s="10" t="s">
        <v>780</v>
      </c>
      <c r="D74" s="11">
        <v>44001</v>
      </c>
      <c r="E74" s="11">
        <v>44005</v>
      </c>
      <c r="F74" s="31">
        <v>44287000</v>
      </c>
      <c r="G74" s="32">
        <v>0</v>
      </c>
      <c r="H74" s="8" t="s">
        <v>781</v>
      </c>
      <c r="I74" s="12">
        <v>1082127888</v>
      </c>
      <c r="J74" s="13" t="s">
        <v>835</v>
      </c>
      <c r="K74" s="14">
        <v>1</v>
      </c>
      <c r="L74" s="15" t="s">
        <v>1288</v>
      </c>
      <c r="M74" s="16">
        <v>234500</v>
      </c>
      <c r="N74" s="16">
        <v>0</v>
      </c>
      <c r="O74" s="16">
        <f t="shared" si="2"/>
        <v>234500</v>
      </c>
      <c r="P74" s="14" t="s">
        <v>425</v>
      </c>
    </row>
    <row r="75" spans="1:16" x14ac:dyDescent="0.3">
      <c r="A75" s="8" t="s">
        <v>728</v>
      </c>
      <c r="B75" s="9">
        <v>1642111</v>
      </c>
      <c r="C75" s="10" t="s">
        <v>780</v>
      </c>
      <c r="D75" s="11">
        <v>44001</v>
      </c>
      <c r="E75" s="11">
        <v>44005</v>
      </c>
      <c r="F75" s="31">
        <v>44287000</v>
      </c>
      <c r="G75" s="32">
        <v>0</v>
      </c>
      <c r="H75" s="8" t="s">
        <v>781</v>
      </c>
      <c r="I75" s="12">
        <v>1082127888</v>
      </c>
      <c r="J75" s="13" t="s">
        <v>836</v>
      </c>
      <c r="K75" s="14">
        <v>1</v>
      </c>
      <c r="L75" s="15" t="s">
        <v>1288</v>
      </c>
      <c r="M75" s="16">
        <v>201000</v>
      </c>
      <c r="N75" s="16">
        <v>0</v>
      </c>
      <c r="O75" s="16">
        <f t="shared" si="2"/>
        <v>201000</v>
      </c>
      <c r="P75" s="14" t="s">
        <v>425</v>
      </c>
    </row>
    <row r="76" spans="1:16" x14ac:dyDescent="0.3">
      <c r="A76" s="8" t="s">
        <v>728</v>
      </c>
      <c r="B76" s="9">
        <v>1642111</v>
      </c>
      <c r="C76" s="10" t="s">
        <v>780</v>
      </c>
      <c r="D76" s="11">
        <v>44001</v>
      </c>
      <c r="E76" s="11">
        <v>44005</v>
      </c>
      <c r="F76" s="31">
        <v>44287000</v>
      </c>
      <c r="G76" s="32">
        <v>0</v>
      </c>
      <c r="H76" s="8" t="s">
        <v>781</v>
      </c>
      <c r="I76" s="12">
        <v>1082127888</v>
      </c>
      <c r="J76" s="13" t="s">
        <v>837</v>
      </c>
      <c r="K76" s="14">
        <v>1</v>
      </c>
      <c r="L76" s="15" t="s">
        <v>1288</v>
      </c>
      <c r="M76" s="16">
        <v>201000</v>
      </c>
      <c r="N76" s="16">
        <v>0</v>
      </c>
      <c r="O76" s="16">
        <f t="shared" si="2"/>
        <v>201000</v>
      </c>
      <c r="P76" s="14" t="s">
        <v>425</v>
      </c>
    </row>
    <row r="77" spans="1:16" x14ac:dyDescent="0.3">
      <c r="A77" s="8" t="s">
        <v>728</v>
      </c>
      <c r="B77" s="9">
        <v>1642111</v>
      </c>
      <c r="C77" s="10" t="s">
        <v>780</v>
      </c>
      <c r="D77" s="11">
        <v>44001</v>
      </c>
      <c r="E77" s="11">
        <v>44005</v>
      </c>
      <c r="F77" s="31">
        <v>44287000</v>
      </c>
      <c r="G77" s="32">
        <v>0</v>
      </c>
      <c r="H77" s="8" t="s">
        <v>781</v>
      </c>
      <c r="I77" s="12">
        <v>1082127888</v>
      </c>
      <c r="J77" s="13" t="s">
        <v>838</v>
      </c>
      <c r="K77" s="14">
        <v>1</v>
      </c>
      <c r="L77" s="15" t="s">
        <v>1288</v>
      </c>
      <c r="M77" s="16">
        <v>201000</v>
      </c>
      <c r="N77" s="16">
        <v>0</v>
      </c>
      <c r="O77" s="16">
        <f t="shared" si="2"/>
        <v>201000</v>
      </c>
      <c r="P77" s="14" t="s">
        <v>425</v>
      </c>
    </row>
    <row r="78" spans="1:16" x14ac:dyDescent="0.3">
      <c r="A78" s="8" t="s">
        <v>728</v>
      </c>
      <c r="B78" s="9">
        <v>1642111</v>
      </c>
      <c r="C78" s="10" t="s">
        <v>780</v>
      </c>
      <c r="D78" s="11">
        <v>44001</v>
      </c>
      <c r="E78" s="11">
        <v>44005</v>
      </c>
      <c r="F78" s="31">
        <v>44287000</v>
      </c>
      <c r="G78" s="32">
        <v>0</v>
      </c>
      <c r="H78" s="8" t="s">
        <v>781</v>
      </c>
      <c r="I78" s="12">
        <v>1082127888</v>
      </c>
      <c r="J78" s="13" t="s">
        <v>839</v>
      </c>
      <c r="K78" s="14">
        <v>2</v>
      </c>
      <c r="L78" s="15" t="s">
        <v>1288</v>
      </c>
      <c r="M78" s="16">
        <v>234500</v>
      </c>
      <c r="N78" s="16">
        <v>0</v>
      </c>
      <c r="O78" s="16">
        <f t="shared" si="2"/>
        <v>469000</v>
      </c>
      <c r="P78" s="14" t="s">
        <v>425</v>
      </c>
    </row>
    <row r="79" spans="1:16" x14ac:dyDescent="0.3">
      <c r="A79" s="8" t="s">
        <v>728</v>
      </c>
      <c r="B79" s="9">
        <v>1642111</v>
      </c>
      <c r="C79" s="10" t="s">
        <v>780</v>
      </c>
      <c r="D79" s="11">
        <v>44001</v>
      </c>
      <c r="E79" s="11">
        <v>44005</v>
      </c>
      <c r="F79" s="31">
        <v>44287000</v>
      </c>
      <c r="G79" s="32">
        <v>0</v>
      </c>
      <c r="H79" s="8" t="s">
        <v>781</v>
      </c>
      <c r="I79" s="12">
        <v>1082127888</v>
      </c>
      <c r="J79" s="13" t="s">
        <v>840</v>
      </c>
      <c r="K79" s="14">
        <v>3</v>
      </c>
      <c r="L79" s="15" t="s">
        <v>1288</v>
      </c>
      <c r="M79" s="16">
        <v>569500</v>
      </c>
      <c r="N79" s="16">
        <v>0</v>
      </c>
      <c r="O79" s="16">
        <f t="shared" si="2"/>
        <v>1708500</v>
      </c>
      <c r="P79" s="14" t="s">
        <v>425</v>
      </c>
    </row>
    <row r="80" spans="1:16" x14ac:dyDescent="0.3">
      <c r="A80" s="8" t="s">
        <v>728</v>
      </c>
      <c r="B80" s="9">
        <v>1642111</v>
      </c>
      <c r="C80" s="10" t="s">
        <v>780</v>
      </c>
      <c r="D80" s="11">
        <v>44001</v>
      </c>
      <c r="E80" s="11">
        <v>44005</v>
      </c>
      <c r="F80" s="31">
        <v>44287000</v>
      </c>
      <c r="G80" s="32">
        <v>0</v>
      </c>
      <c r="H80" s="8" t="s">
        <v>781</v>
      </c>
      <c r="I80" s="12">
        <v>1082127888</v>
      </c>
      <c r="J80" s="13" t="s">
        <v>841</v>
      </c>
      <c r="K80" s="14">
        <v>3</v>
      </c>
      <c r="L80" s="15" t="s">
        <v>1288</v>
      </c>
      <c r="M80" s="16">
        <v>268000</v>
      </c>
      <c r="N80" s="16">
        <v>0</v>
      </c>
      <c r="O80" s="16">
        <f t="shared" si="2"/>
        <v>804000</v>
      </c>
      <c r="P80" s="14" t="s">
        <v>425</v>
      </c>
    </row>
    <row r="81" spans="1:16" x14ac:dyDescent="0.3">
      <c r="A81" s="8" t="s">
        <v>728</v>
      </c>
      <c r="B81" s="9">
        <v>1642111</v>
      </c>
      <c r="C81" s="10" t="s">
        <v>780</v>
      </c>
      <c r="D81" s="11">
        <v>44001</v>
      </c>
      <c r="E81" s="11">
        <v>44005</v>
      </c>
      <c r="F81" s="31">
        <v>44287000</v>
      </c>
      <c r="G81" s="32">
        <v>0</v>
      </c>
      <c r="H81" s="8" t="s">
        <v>781</v>
      </c>
      <c r="I81" s="12">
        <v>1082127888</v>
      </c>
      <c r="J81" s="13" t="s">
        <v>842</v>
      </c>
      <c r="K81" s="14">
        <v>1</v>
      </c>
      <c r="L81" s="15" t="s">
        <v>1288</v>
      </c>
      <c r="M81" s="16">
        <v>938000</v>
      </c>
      <c r="N81" s="16">
        <v>0</v>
      </c>
      <c r="O81" s="16">
        <f t="shared" si="2"/>
        <v>938000</v>
      </c>
      <c r="P81" s="14" t="s">
        <v>425</v>
      </c>
    </row>
    <row r="82" spans="1:16" x14ac:dyDescent="0.3">
      <c r="A82" s="8" t="s">
        <v>728</v>
      </c>
      <c r="B82" s="9">
        <v>1642111</v>
      </c>
      <c r="C82" s="10" t="s">
        <v>780</v>
      </c>
      <c r="D82" s="11">
        <v>44001</v>
      </c>
      <c r="E82" s="11">
        <v>44005</v>
      </c>
      <c r="F82" s="31">
        <v>44287000</v>
      </c>
      <c r="G82" s="32">
        <v>0</v>
      </c>
      <c r="H82" s="8" t="s">
        <v>781</v>
      </c>
      <c r="I82" s="12">
        <v>1082127888</v>
      </c>
      <c r="J82" s="13" t="s">
        <v>843</v>
      </c>
      <c r="K82" s="14">
        <v>1</v>
      </c>
      <c r="L82" s="15" t="s">
        <v>1288</v>
      </c>
      <c r="M82" s="16">
        <v>938000</v>
      </c>
      <c r="N82" s="16">
        <v>0</v>
      </c>
      <c r="O82" s="16">
        <f t="shared" si="2"/>
        <v>938000</v>
      </c>
      <c r="P82" s="14" t="s">
        <v>425</v>
      </c>
    </row>
    <row r="83" spans="1:16" x14ac:dyDescent="0.3">
      <c r="A83" s="8" t="s">
        <v>728</v>
      </c>
      <c r="B83" s="9">
        <v>1642111</v>
      </c>
      <c r="C83" s="10" t="s">
        <v>780</v>
      </c>
      <c r="D83" s="11">
        <v>44001</v>
      </c>
      <c r="E83" s="11">
        <v>44005</v>
      </c>
      <c r="F83" s="31">
        <v>44287000</v>
      </c>
      <c r="G83" s="32">
        <v>0</v>
      </c>
      <c r="H83" s="8" t="s">
        <v>781</v>
      </c>
      <c r="I83" s="12">
        <v>1082127888</v>
      </c>
      <c r="J83" s="13" t="s">
        <v>844</v>
      </c>
      <c r="K83" s="14">
        <v>1</v>
      </c>
      <c r="L83" s="15" t="s">
        <v>1288</v>
      </c>
      <c r="M83" s="16">
        <v>938000</v>
      </c>
      <c r="N83" s="16">
        <v>0</v>
      </c>
      <c r="O83" s="16">
        <f t="shared" si="2"/>
        <v>938000</v>
      </c>
      <c r="P83" s="14" t="s">
        <v>425</v>
      </c>
    </row>
    <row r="84" spans="1:16" x14ac:dyDescent="0.3">
      <c r="A84" s="8" t="s">
        <v>728</v>
      </c>
      <c r="B84" s="9">
        <v>1642111</v>
      </c>
      <c r="C84" s="10" t="s">
        <v>780</v>
      </c>
      <c r="D84" s="11">
        <v>44001</v>
      </c>
      <c r="E84" s="11">
        <v>44005</v>
      </c>
      <c r="F84" s="31">
        <v>44287000</v>
      </c>
      <c r="G84" s="32">
        <v>0</v>
      </c>
      <c r="H84" s="8" t="s">
        <v>781</v>
      </c>
      <c r="I84" s="12">
        <v>1082127888</v>
      </c>
      <c r="J84" s="13" t="s">
        <v>845</v>
      </c>
      <c r="K84" s="14">
        <v>1</v>
      </c>
      <c r="L84" s="15" t="s">
        <v>1288</v>
      </c>
      <c r="M84" s="16">
        <v>938000</v>
      </c>
      <c r="N84" s="16">
        <v>0</v>
      </c>
      <c r="O84" s="16">
        <f t="shared" si="2"/>
        <v>938000</v>
      </c>
      <c r="P84" s="14" t="s">
        <v>425</v>
      </c>
    </row>
    <row r="85" spans="1:16" x14ac:dyDescent="0.3">
      <c r="A85" s="8" t="s">
        <v>728</v>
      </c>
      <c r="B85" s="9">
        <v>1642111</v>
      </c>
      <c r="C85" s="10" t="s">
        <v>780</v>
      </c>
      <c r="D85" s="11">
        <v>44001</v>
      </c>
      <c r="E85" s="11">
        <v>44005</v>
      </c>
      <c r="F85" s="31">
        <v>44287000</v>
      </c>
      <c r="G85" s="32">
        <v>0</v>
      </c>
      <c r="H85" s="8" t="s">
        <v>781</v>
      </c>
      <c r="I85" s="12">
        <v>1082127888</v>
      </c>
      <c r="J85" s="13" t="s">
        <v>846</v>
      </c>
      <c r="K85" s="14">
        <v>1</v>
      </c>
      <c r="L85" s="15" t="s">
        <v>1288</v>
      </c>
      <c r="M85" s="16">
        <v>938000</v>
      </c>
      <c r="N85" s="16">
        <v>0</v>
      </c>
      <c r="O85" s="16">
        <f t="shared" si="2"/>
        <v>938000</v>
      </c>
      <c r="P85" s="14" t="s">
        <v>425</v>
      </c>
    </row>
    <row r="86" spans="1:16" x14ac:dyDescent="0.3">
      <c r="A86" s="8" t="s">
        <v>728</v>
      </c>
      <c r="B86" s="9">
        <v>1642111</v>
      </c>
      <c r="C86" s="10" t="s">
        <v>780</v>
      </c>
      <c r="D86" s="11">
        <v>44001</v>
      </c>
      <c r="E86" s="11">
        <v>44005</v>
      </c>
      <c r="F86" s="31">
        <v>44287000</v>
      </c>
      <c r="G86" s="32">
        <v>0</v>
      </c>
      <c r="H86" s="8" t="s">
        <v>781</v>
      </c>
      <c r="I86" s="12">
        <v>1082127888</v>
      </c>
      <c r="J86" s="13" t="s">
        <v>847</v>
      </c>
      <c r="K86" s="14">
        <v>1</v>
      </c>
      <c r="L86" s="15" t="s">
        <v>1288</v>
      </c>
      <c r="M86" s="16">
        <v>938000</v>
      </c>
      <c r="N86" s="16">
        <v>0</v>
      </c>
      <c r="O86" s="16">
        <f t="shared" si="2"/>
        <v>938000</v>
      </c>
      <c r="P86" s="14" t="s">
        <v>425</v>
      </c>
    </row>
    <row r="87" spans="1:16" x14ac:dyDescent="0.3">
      <c r="A87" s="8" t="s">
        <v>728</v>
      </c>
      <c r="B87" s="9">
        <v>1642111</v>
      </c>
      <c r="C87" s="10" t="s">
        <v>780</v>
      </c>
      <c r="D87" s="11">
        <v>44001</v>
      </c>
      <c r="E87" s="11">
        <v>44005</v>
      </c>
      <c r="F87" s="31">
        <v>44287000</v>
      </c>
      <c r="G87" s="32">
        <v>0</v>
      </c>
      <c r="H87" s="8" t="s">
        <v>781</v>
      </c>
      <c r="I87" s="12">
        <v>1082127888</v>
      </c>
      <c r="J87" s="13" t="s">
        <v>848</v>
      </c>
      <c r="K87" s="14">
        <v>1</v>
      </c>
      <c r="L87" s="15" t="s">
        <v>1288</v>
      </c>
      <c r="M87" s="16">
        <v>301500</v>
      </c>
      <c r="N87" s="16">
        <v>0</v>
      </c>
      <c r="O87" s="16">
        <f t="shared" si="2"/>
        <v>301500</v>
      </c>
      <c r="P87" s="14" t="s">
        <v>425</v>
      </c>
    </row>
    <row r="88" spans="1:16" x14ac:dyDescent="0.3">
      <c r="A88" s="8" t="s">
        <v>728</v>
      </c>
      <c r="B88" s="9">
        <v>1642111</v>
      </c>
      <c r="C88" s="10" t="s">
        <v>780</v>
      </c>
      <c r="D88" s="11">
        <v>44001</v>
      </c>
      <c r="E88" s="11">
        <v>44005</v>
      </c>
      <c r="F88" s="31">
        <v>44287000</v>
      </c>
      <c r="G88" s="32">
        <v>0</v>
      </c>
      <c r="H88" s="8" t="s">
        <v>781</v>
      </c>
      <c r="I88" s="12">
        <v>1082127888</v>
      </c>
      <c r="J88" s="13" t="s">
        <v>849</v>
      </c>
      <c r="K88" s="14">
        <v>1</v>
      </c>
      <c r="L88" s="15" t="s">
        <v>1288</v>
      </c>
      <c r="M88" s="16">
        <v>234500</v>
      </c>
      <c r="N88" s="16">
        <v>0</v>
      </c>
      <c r="O88" s="16">
        <f t="shared" ref="O88:O108" si="3">K88*(M88+N88)</f>
        <v>234500</v>
      </c>
      <c r="P88" s="14" t="s">
        <v>425</v>
      </c>
    </row>
    <row r="89" spans="1:16" x14ac:dyDescent="0.3">
      <c r="A89" s="8" t="s">
        <v>728</v>
      </c>
      <c r="B89" s="9">
        <v>1642111</v>
      </c>
      <c r="C89" s="10" t="s">
        <v>780</v>
      </c>
      <c r="D89" s="11">
        <v>44001</v>
      </c>
      <c r="E89" s="11">
        <v>44005</v>
      </c>
      <c r="F89" s="31">
        <v>44287000</v>
      </c>
      <c r="G89" s="32">
        <v>0</v>
      </c>
      <c r="H89" s="8" t="s">
        <v>781</v>
      </c>
      <c r="I89" s="12">
        <v>1082127888</v>
      </c>
      <c r="J89" s="13" t="s">
        <v>850</v>
      </c>
      <c r="K89" s="14">
        <v>1</v>
      </c>
      <c r="L89" s="15" t="s">
        <v>1288</v>
      </c>
      <c r="M89" s="16">
        <v>201000</v>
      </c>
      <c r="N89" s="16">
        <v>0</v>
      </c>
      <c r="O89" s="16">
        <f t="shared" si="3"/>
        <v>201000</v>
      </c>
      <c r="P89" s="14" t="s">
        <v>425</v>
      </c>
    </row>
    <row r="90" spans="1:16" x14ac:dyDescent="0.3">
      <c r="A90" s="8" t="s">
        <v>728</v>
      </c>
      <c r="B90" s="9">
        <v>1642111</v>
      </c>
      <c r="C90" s="10" t="s">
        <v>780</v>
      </c>
      <c r="D90" s="11">
        <v>44001</v>
      </c>
      <c r="E90" s="11">
        <v>44005</v>
      </c>
      <c r="F90" s="31">
        <v>44287000</v>
      </c>
      <c r="G90" s="32">
        <v>0</v>
      </c>
      <c r="H90" s="8" t="s">
        <v>781</v>
      </c>
      <c r="I90" s="12">
        <v>1082127888</v>
      </c>
      <c r="J90" s="13" t="s">
        <v>851</v>
      </c>
      <c r="K90" s="14">
        <v>1</v>
      </c>
      <c r="L90" s="15" t="s">
        <v>1288</v>
      </c>
      <c r="M90" s="16">
        <v>201000</v>
      </c>
      <c r="N90" s="16">
        <v>0</v>
      </c>
      <c r="O90" s="16">
        <f t="shared" si="3"/>
        <v>201000</v>
      </c>
      <c r="P90" s="14" t="s">
        <v>425</v>
      </c>
    </row>
    <row r="91" spans="1:16" x14ac:dyDescent="0.3">
      <c r="A91" s="8" t="s">
        <v>728</v>
      </c>
      <c r="B91" s="9">
        <v>1642111</v>
      </c>
      <c r="C91" s="10" t="s">
        <v>780</v>
      </c>
      <c r="D91" s="11">
        <v>44001</v>
      </c>
      <c r="E91" s="11">
        <v>44005</v>
      </c>
      <c r="F91" s="31">
        <v>44287000</v>
      </c>
      <c r="G91" s="32">
        <v>0</v>
      </c>
      <c r="H91" s="8" t="s">
        <v>781</v>
      </c>
      <c r="I91" s="12">
        <v>1082127888</v>
      </c>
      <c r="J91" s="13" t="s">
        <v>852</v>
      </c>
      <c r="K91" s="14">
        <v>1</v>
      </c>
      <c r="L91" s="15" t="s">
        <v>1288</v>
      </c>
      <c r="M91" s="16">
        <v>201000</v>
      </c>
      <c r="N91" s="16">
        <v>0</v>
      </c>
      <c r="O91" s="16">
        <f t="shared" si="3"/>
        <v>201000</v>
      </c>
      <c r="P91" s="14" t="s">
        <v>425</v>
      </c>
    </row>
    <row r="92" spans="1:16" x14ac:dyDescent="0.3">
      <c r="A92" s="8" t="s">
        <v>728</v>
      </c>
      <c r="B92" s="9">
        <v>1642111</v>
      </c>
      <c r="C92" s="10" t="s">
        <v>780</v>
      </c>
      <c r="D92" s="11">
        <v>44001</v>
      </c>
      <c r="E92" s="11">
        <v>44005</v>
      </c>
      <c r="F92" s="31">
        <v>44287000</v>
      </c>
      <c r="G92" s="32">
        <v>0</v>
      </c>
      <c r="H92" s="8" t="s">
        <v>781</v>
      </c>
      <c r="I92" s="12">
        <v>1082127888</v>
      </c>
      <c r="J92" s="13" t="s">
        <v>853</v>
      </c>
      <c r="K92" s="14">
        <v>1</v>
      </c>
      <c r="L92" s="15" t="s">
        <v>1288</v>
      </c>
      <c r="M92" s="16">
        <v>201000</v>
      </c>
      <c r="N92" s="16">
        <v>0</v>
      </c>
      <c r="O92" s="16">
        <f t="shared" si="3"/>
        <v>201000</v>
      </c>
      <c r="P92" s="14" t="s">
        <v>425</v>
      </c>
    </row>
    <row r="93" spans="1:16" x14ac:dyDescent="0.3">
      <c r="A93" s="8" t="s">
        <v>728</v>
      </c>
      <c r="B93" s="9">
        <v>1642111</v>
      </c>
      <c r="C93" s="10" t="s">
        <v>780</v>
      </c>
      <c r="D93" s="11">
        <v>44001</v>
      </c>
      <c r="E93" s="11">
        <v>44005</v>
      </c>
      <c r="F93" s="31">
        <v>44287000</v>
      </c>
      <c r="G93" s="32">
        <v>0</v>
      </c>
      <c r="H93" s="8" t="s">
        <v>781</v>
      </c>
      <c r="I93" s="12">
        <v>1082127888</v>
      </c>
      <c r="J93" s="13" t="s">
        <v>854</v>
      </c>
      <c r="K93" s="14">
        <v>1</v>
      </c>
      <c r="L93" s="15" t="s">
        <v>1288</v>
      </c>
      <c r="M93" s="16">
        <v>201000</v>
      </c>
      <c r="N93" s="16">
        <v>0</v>
      </c>
      <c r="O93" s="16">
        <f t="shared" si="3"/>
        <v>201000</v>
      </c>
      <c r="P93" s="14" t="s">
        <v>425</v>
      </c>
    </row>
    <row r="94" spans="1:16" x14ac:dyDescent="0.3">
      <c r="A94" s="8" t="s">
        <v>728</v>
      </c>
      <c r="B94" s="9">
        <v>1642111</v>
      </c>
      <c r="C94" s="10" t="s">
        <v>780</v>
      </c>
      <c r="D94" s="11">
        <v>44001</v>
      </c>
      <c r="E94" s="11">
        <v>44005</v>
      </c>
      <c r="F94" s="31">
        <v>44287000</v>
      </c>
      <c r="G94" s="32">
        <v>0</v>
      </c>
      <c r="H94" s="8" t="s">
        <v>781</v>
      </c>
      <c r="I94" s="12">
        <v>1082127888</v>
      </c>
      <c r="J94" s="13" t="s">
        <v>855</v>
      </c>
      <c r="K94" s="14">
        <v>1</v>
      </c>
      <c r="L94" s="15" t="s">
        <v>1288</v>
      </c>
      <c r="M94" s="16">
        <v>201000</v>
      </c>
      <c r="N94" s="16">
        <v>0</v>
      </c>
      <c r="O94" s="16">
        <f t="shared" si="3"/>
        <v>201000</v>
      </c>
      <c r="P94" s="14" t="s">
        <v>425</v>
      </c>
    </row>
    <row r="95" spans="1:16" x14ac:dyDescent="0.3">
      <c r="A95" s="8" t="s">
        <v>728</v>
      </c>
      <c r="B95" s="9">
        <v>1642111</v>
      </c>
      <c r="C95" s="10" t="s">
        <v>780</v>
      </c>
      <c r="D95" s="11">
        <v>44001</v>
      </c>
      <c r="E95" s="11">
        <v>44005</v>
      </c>
      <c r="F95" s="31">
        <v>44287000</v>
      </c>
      <c r="G95" s="32">
        <v>0</v>
      </c>
      <c r="H95" s="8" t="s">
        <v>781</v>
      </c>
      <c r="I95" s="12">
        <v>1082127888</v>
      </c>
      <c r="J95" s="13" t="s">
        <v>856</v>
      </c>
      <c r="K95" s="14">
        <v>1</v>
      </c>
      <c r="L95" s="15" t="s">
        <v>1288</v>
      </c>
      <c r="M95" s="16">
        <v>201000</v>
      </c>
      <c r="N95" s="16">
        <v>0</v>
      </c>
      <c r="O95" s="16">
        <f t="shared" si="3"/>
        <v>201000</v>
      </c>
      <c r="P95" s="14" t="s">
        <v>425</v>
      </c>
    </row>
    <row r="96" spans="1:16" x14ac:dyDescent="0.3">
      <c r="A96" s="8" t="s">
        <v>728</v>
      </c>
      <c r="B96" s="9">
        <v>1642111</v>
      </c>
      <c r="C96" s="10" t="s">
        <v>780</v>
      </c>
      <c r="D96" s="11">
        <v>44001</v>
      </c>
      <c r="E96" s="11">
        <v>44005</v>
      </c>
      <c r="F96" s="31">
        <v>44287000</v>
      </c>
      <c r="G96" s="32">
        <v>0</v>
      </c>
      <c r="H96" s="8" t="s">
        <v>781</v>
      </c>
      <c r="I96" s="12">
        <v>1082127888</v>
      </c>
      <c r="J96" s="13" t="s">
        <v>857</v>
      </c>
      <c r="K96" s="14">
        <v>3</v>
      </c>
      <c r="L96" s="15" t="s">
        <v>1288</v>
      </c>
      <c r="M96" s="16">
        <v>670000</v>
      </c>
      <c r="N96" s="16">
        <v>0</v>
      </c>
      <c r="O96" s="16">
        <f t="shared" si="3"/>
        <v>2010000</v>
      </c>
      <c r="P96" s="14" t="s">
        <v>425</v>
      </c>
    </row>
    <row r="97" spans="1:16" x14ac:dyDescent="0.3">
      <c r="A97" s="8" t="s">
        <v>728</v>
      </c>
      <c r="B97" s="9">
        <v>1642111</v>
      </c>
      <c r="C97" s="10" t="s">
        <v>780</v>
      </c>
      <c r="D97" s="11">
        <v>44001</v>
      </c>
      <c r="E97" s="11">
        <v>44005</v>
      </c>
      <c r="F97" s="31">
        <v>44287000</v>
      </c>
      <c r="G97" s="32">
        <v>0</v>
      </c>
      <c r="H97" s="8" t="s">
        <v>781</v>
      </c>
      <c r="I97" s="12">
        <v>1082127888</v>
      </c>
      <c r="J97" s="13" t="s">
        <v>858</v>
      </c>
      <c r="K97" s="14">
        <v>3</v>
      </c>
      <c r="L97" s="15" t="s">
        <v>1288</v>
      </c>
      <c r="M97" s="16">
        <v>335000</v>
      </c>
      <c r="N97" s="16">
        <v>0</v>
      </c>
      <c r="O97" s="16">
        <f t="shared" si="3"/>
        <v>1005000</v>
      </c>
      <c r="P97" s="14" t="s">
        <v>425</v>
      </c>
    </row>
    <row r="98" spans="1:16" x14ac:dyDescent="0.3">
      <c r="A98" s="8" t="s">
        <v>728</v>
      </c>
      <c r="B98" s="9">
        <v>1642111</v>
      </c>
      <c r="C98" s="10" t="s">
        <v>780</v>
      </c>
      <c r="D98" s="11">
        <v>44001</v>
      </c>
      <c r="E98" s="11">
        <v>44005</v>
      </c>
      <c r="F98" s="31">
        <v>44287000</v>
      </c>
      <c r="G98" s="32">
        <v>0</v>
      </c>
      <c r="H98" s="8" t="s">
        <v>781</v>
      </c>
      <c r="I98" s="12">
        <v>1082127888</v>
      </c>
      <c r="J98" s="13" t="s">
        <v>859</v>
      </c>
      <c r="K98" s="14">
        <v>2</v>
      </c>
      <c r="L98" s="15" t="s">
        <v>1288</v>
      </c>
      <c r="M98" s="16">
        <v>201000</v>
      </c>
      <c r="N98" s="16">
        <v>0</v>
      </c>
      <c r="O98" s="16">
        <f t="shared" si="3"/>
        <v>402000</v>
      </c>
      <c r="P98" s="14" t="s">
        <v>425</v>
      </c>
    </row>
    <row r="99" spans="1:16" x14ac:dyDescent="0.3">
      <c r="A99" s="8" t="s">
        <v>728</v>
      </c>
      <c r="B99" s="9">
        <v>1642111</v>
      </c>
      <c r="C99" s="10" t="s">
        <v>780</v>
      </c>
      <c r="D99" s="11">
        <v>44001</v>
      </c>
      <c r="E99" s="11">
        <v>44005</v>
      </c>
      <c r="F99" s="31">
        <v>44287000</v>
      </c>
      <c r="G99" s="32">
        <v>0</v>
      </c>
      <c r="H99" s="8" t="s">
        <v>781</v>
      </c>
      <c r="I99" s="12">
        <v>1082127888</v>
      </c>
      <c r="J99" s="13" t="s">
        <v>860</v>
      </c>
      <c r="K99" s="14">
        <v>1</v>
      </c>
      <c r="L99" s="15" t="s">
        <v>1288</v>
      </c>
      <c r="M99" s="16">
        <v>402000</v>
      </c>
      <c r="N99" s="16">
        <v>0</v>
      </c>
      <c r="O99" s="16">
        <f t="shared" si="3"/>
        <v>402000</v>
      </c>
      <c r="P99" s="14" t="s">
        <v>425</v>
      </c>
    </row>
    <row r="100" spans="1:16" x14ac:dyDescent="0.3">
      <c r="A100" s="8" t="s">
        <v>728</v>
      </c>
      <c r="B100" s="9">
        <v>1642111</v>
      </c>
      <c r="C100" s="10" t="s">
        <v>780</v>
      </c>
      <c r="D100" s="11">
        <v>44001</v>
      </c>
      <c r="E100" s="11">
        <v>44005</v>
      </c>
      <c r="F100" s="31">
        <v>44287000</v>
      </c>
      <c r="G100" s="32">
        <v>0</v>
      </c>
      <c r="H100" s="8" t="s">
        <v>781</v>
      </c>
      <c r="I100" s="12">
        <v>1082127888</v>
      </c>
      <c r="J100" s="13" t="s">
        <v>861</v>
      </c>
      <c r="K100" s="14">
        <v>3</v>
      </c>
      <c r="L100" s="15" t="s">
        <v>1288</v>
      </c>
      <c r="M100" s="16">
        <v>402000</v>
      </c>
      <c r="N100" s="16">
        <v>0</v>
      </c>
      <c r="O100" s="16">
        <f t="shared" si="3"/>
        <v>1206000</v>
      </c>
      <c r="P100" s="14" t="s">
        <v>425</v>
      </c>
    </row>
    <row r="101" spans="1:16" x14ac:dyDescent="0.3">
      <c r="A101" s="8" t="s">
        <v>728</v>
      </c>
      <c r="B101" s="9">
        <v>1642111</v>
      </c>
      <c r="C101" s="10" t="s">
        <v>780</v>
      </c>
      <c r="D101" s="11">
        <v>44001</v>
      </c>
      <c r="E101" s="11">
        <v>44005</v>
      </c>
      <c r="F101" s="31">
        <v>44287000</v>
      </c>
      <c r="G101" s="32">
        <v>0</v>
      </c>
      <c r="H101" s="8" t="s">
        <v>781</v>
      </c>
      <c r="I101" s="12">
        <v>1082127888</v>
      </c>
      <c r="J101" s="13" t="s">
        <v>862</v>
      </c>
      <c r="K101" s="14">
        <v>2</v>
      </c>
      <c r="L101" s="15" t="s">
        <v>1288</v>
      </c>
      <c r="M101" s="16">
        <v>268000</v>
      </c>
      <c r="N101" s="16">
        <v>0</v>
      </c>
      <c r="O101" s="16">
        <f t="shared" si="3"/>
        <v>536000</v>
      </c>
      <c r="P101" s="14" t="s">
        <v>425</v>
      </c>
    </row>
    <row r="102" spans="1:16" x14ac:dyDescent="0.3">
      <c r="A102" s="8" t="s">
        <v>728</v>
      </c>
      <c r="B102" s="9">
        <v>1642111</v>
      </c>
      <c r="C102" s="10" t="s">
        <v>780</v>
      </c>
      <c r="D102" s="11">
        <v>44001</v>
      </c>
      <c r="E102" s="11">
        <v>44005</v>
      </c>
      <c r="F102" s="31">
        <v>44287000</v>
      </c>
      <c r="G102" s="32">
        <v>0</v>
      </c>
      <c r="H102" s="8" t="s">
        <v>781</v>
      </c>
      <c r="I102" s="12">
        <v>1082127888</v>
      </c>
      <c r="J102" s="13" t="s">
        <v>863</v>
      </c>
      <c r="K102" s="14">
        <v>3</v>
      </c>
      <c r="L102" s="15" t="s">
        <v>1288</v>
      </c>
      <c r="M102" s="16">
        <v>268000</v>
      </c>
      <c r="N102" s="16">
        <v>0</v>
      </c>
      <c r="O102" s="16">
        <f t="shared" si="3"/>
        <v>804000</v>
      </c>
      <c r="P102" s="14" t="s">
        <v>425</v>
      </c>
    </row>
    <row r="103" spans="1:16" x14ac:dyDescent="0.3">
      <c r="A103" s="8" t="s">
        <v>728</v>
      </c>
      <c r="B103" s="9">
        <v>1642111</v>
      </c>
      <c r="C103" s="10" t="s">
        <v>780</v>
      </c>
      <c r="D103" s="11">
        <v>44001</v>
      </c>
      <c r="E103" s="11">
        <v>44005</v>
      </c>
      <c r="F103" s="31">
        <v>44287000</v>
      </c>
      <c r="G103" s="32">
        <v>0</v>
      </c>
      <c r="H103" s="8" t="s">
        <v>781</v>
      </c>
      <c r="I103" s="12">
        <v>1082127888</v>
      </c>
      <c r="J103" s="13" t="s">
        <v>864</v>
      </c>
      <c r="K103" s="14">
        <v>1</v>
      </c>
      <c r="L103" s="15" t="s">
        <v>1288</v>
      </c>
      <c r="M103" s="16">
        <v>301500</v>
      </c>
      <c r="N103" s="16">
        <v>0</v>
      </c>
      <c r="O103" s="16">
        <f t="shared" si="3"/>
        <v>301500</v>
      </c>
      <c r="P103" s="14" t="s">
        <v>425</v>
      </c>
    </row>
    <row r="104" spans="1:16" x14ac:dyDescent="0.3">
      <c r="A104" s="8" t="s">
        <v>728</v>
      </c>
      <c r="B104" s="9">
        <v>1642111</v>
      </c>
      <c r="C104" s="10" t="s">
        <v>780</v>
      </c>
      <c r="D104" s="11">
        <v>44001</v>
      </c>
      <c r="E104" s="11">
        <v>44005</v>
      </c>
      <c r="F104" s="31">
        <v>44287000</v>
      </c>
      <c r="G104" s="32">
        <v>0</v>
      </c>
      <c r="H104" s="8" t="s">
        <v>781</v>
      </c>
      <c r="I104" s="12">
        <v>1082127888</v>
      </c>
      <c r="J104" s="13" t="s">
        <v>865</v>
      </c>
      <c r="K104" s="14">
        <v>1</v>
      </c>
      <c r="L104" s="15" t="s">
        <v>1288</v>
      </c>
      <c r="M104" s="16">
        <v>301500</v>
      </c>
      <c r="N104" s="16">
        <v>0</v>
      </c>
      <c r="O104" s="16">
        <f t="shared" si="3"/>
        <v>301500</v>
      </c>
      <c r="P104" s="14" t="s">
        <v>425</v>
      </c>
    </row>
    <row r="105" spans="1:16" x14ac:dyDescent="0.3">
      <c r="A105" s="8" t="s">
        <v>728</v>
      </c>
      <c r="B105" s="9">
        <v>1642111</v>
      </c>
      <c r="C105" s="10" t="s">
        <v>780</v>
      </c>
      <c r="D105" s="11">
        <v>44001</v>
      </c>
      <c r="E105" s="11">
        <v>44005</v>
      </c>
      <c r="F105" s="31">
        <v>44287000</v>
      </c>
      <c r="G105" s="32">
        <v>0</v>
      </c>
      <c r="H105" s="8" t="s">
        <v>781</v>
      </c>
      <c r="I105" s="12">
        <v>1082127888</v>
      </c>
      <c r="J105" s="13" t="s">
        <v>866</v>
      </c>
      <c r="K105" s="14">
        <v>2</v>
      </c>
      <c r="L105" s="15" t="s">
        <v>1288</v>
      </c>
      <c r="M105" s="16">
        <v>234500</v>
      </c>
      <c r="N105" s="16">
        <v>0</v>
      </c>
      <c r="O105" s="16">
        <f t="shared" si="3"/>
        <v>469000</v>
      </c>
      <c r="P105" s="14" t="s">
        <v>425</v>
      </c>
    </row>
    <row r="106" spans="1:16" x14ac:dyDescent="0.3">
      <c r="A106" s="8" t="s">
        <v>728</v>
      </c>
      <c r="B106" s="9">
        <v>1642111</v>
      </c>
      <c r="C106" s="10" t="s">
        <v>780</v>
      </c>
      <c r="D106" s="11">
        <v>44001</v>
      </c>
      <c r="E106" s="11">
        <v>44005</v>
      </c>
      <c r="F106" s="31">
        <v>44287000</v>
      </c>
      <c r="G106" s="32">
        <v>0</v>
      </c>
      <c r="H106" s="8" t="s">
        <v>781</v>
      </c>
      <c r="I106" s="12">
        <v>1082127888</v>
      </c>
      <c r="J106" s="13" t="s">
        <v>867</v>
      </c>
      <c r="K106" s="14">
        <v>1</v>
      </c>
      <c r="L106" s="15" t="s">
        <v>1288</v>
      </c>
      <c r="M106" s="16">
        <v>167500</v>
      </c>
      <c r="N106" s="16">
        <v>0</v>
      </c>
      <c r="O106" s="16">
        <f t="shared" si="3"/>
        <v>167500</v>
      </c>
      <c r="P106" s="14" t="s">
        <v>425</v>
      </c>
    </row>
    <row r="107" spans="1:16" x14ac:dyDescent="0.3">
      <c r="A107" s="8" t="s">
        <v>728</v>
      </c>
      <c r="B107" s="9">
        <v>1642111</v>
      </c>
      <c r="C107" s="10" t="s">
        <v>780</v>
      </c>
      <c r="D107" s="11">
        <v>44001</v>
      </c>
      <c r="E107" s="11">
        <v>44005</v>
      </c>
      <c r="F107" s="31">
        <v>44287000</v>
      </c>
      <c r="G107" s="32">
        <v>0</v>
      </c>
      <c r="H107" s="8" t="s">
        <v>781</v>
      </c>
      <c r="I107" s="12">
        <v>1082127888</v>
      </c>
      <c r="J107" s="13" t="s">
        <v>868</v>
      </c>
      <c r="K107" s="14">
        <v>1</v>
      </c>
      <c r="L107" s="15" t="s">
        <v>1288</v>
      </c>
      <c r="M107" s="16">
        <v>167500</v>
      </c>
      <c r="N107" s="16">
        <v>0</v>
      </c>
      <c r="O107" s="16">
        <f t="shared" si="3"/>
        <v>167500</v>
      </c>
      <c r="P107" s="14" t="s">
        <v>425</v>
      </c>
    </row>
    <row r="108" spans="1:16" x14ac:dyDescent="0.3">
      <c r="A108" s="8" t="s">
        <v>728</v>
      </c>
      <c r="B108" s="9">
        <v>1642111</v>
      </c>
      <c r="C108" s="10" t="s">
        <v>780</v>
      </c>
      <c r="D108" s="11">
        <v>44001</v>
      </c>
      <c r="E108" s="11">
        <v>44005</v>
      </c>
      <c r="F108" s="31">
        <v>44287000</v>
      </c>
      <c r="G108" s="32">
        <v>0</v>
      </c>
      <c r="H108" s="8" t="s">
        <v>781</v>
      </c>
      <c r="I108" s="12">
        <v>1082127888</v>
      </c>
      <c r="J108" s="13" t="s">
        <v>869</v>
      </c>
      <c r="K108" s="14">
        <v>1</v>
      </c>
      <c r="L108" s="15" t="s">
        <v>1288</v>
      </c>
      <c r="M108" s="16">
        <v>167500</v>
      </c>
      <c r="N108" s="16">
        <v>0</v>
      </c>
      <c r="O108" s="16">
        <f t="shared" si="3"/>
        <v>167500</v>
      </c>
      <c r="P108" s="14" t="s">
        <v>425</v>
      </c>
    </row>
  </sheetData>
  <dataValidations count="14">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B19 B80:B81 B99:B10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H19 H77:H79 H82:H10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19 A106:A10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19 F89:F10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E19 E89:E105">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 D19 D80:D81 D89:D108">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2:G18 G3:G1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5:E18 D20:E79">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19 I77:I79 I82:I105">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D82:E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77:B79 B82:B8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06:J10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77:F79 F82:F88">
      <formula1>-9223372036854770000</formula1>
      <formula2>9223372036854770000</formula2>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26</v>
      </c>
      <c r="C2" s="10" t="s">
        <v>27</v>
      </c>
      <c r="D2" s="11">
        <v>43916</v>
      </c>
      <c r="E2" s="11">
        <v>43919</v>
      </c>
      <c r="F2" s="31">
        <v>7000000</v>
      </c>
      <c r="G2" s="32">
        <v>0</v>
      </c>
      <c r="H2" s="8" t="s">
        <v>28</v>
      </c>
      <c r="I2" s="12">
        <v>900173793</v>
      </c>
      <c r="J2" s="13" t="s">
        <v>29</v>
      </c>
      <c r="K2" s="14">
        <v>7000</v>
      </c>
      <c r="L2" s="15" t="s">
        <v>250</v>
      </c>
      <c r="M2" s="16">
        <v>840.33609999999999</v>
      </c>
      <c r="N2" s="16">
        <f t="shared" ref="N2" si="0">M2*0.19</f>
        <v>159.663859</v>
      </c>
      <c r="O2" s="16">
        <f t="shared" ref="O2:O13" si="1">K2*(M2+N2)</f>
        <v>6999999.7129999995</v>
      </c>
      <c r="P2" s="14" t="s">
        <v>95</v>
      </c>
    </row>
    <row r="3" spans="1:16" x14ac:dyDescent="0.3">
      <c r="A3" s="8" t="s">
        <v>16</v>
      </c>
      <c r="B3" s="9" t="s">
        <v>40</v>
      </c>
      <c r="C3" s="10" t="s">
        <v>41</v>
      </c>
      <c r="D3" s="11">
        <v>43967</v>
      </c>
      <c r="E3" s="11">
        <v>43967</v>
      </c>
      <c r="F3" s="31">
        <v>3675000</v>
      </c>
      <c r="G3" s="32">
        <v>0</v>
      </c>
      <c r="H3" s="8" t="s">
        <v>42</v>
      </c>
      <c r="I3" s="12">
        <v>901243179</v>
      </c>
      <c r="J3" s="13" t="s">
        <v>43</v>
      </c>
      <c r="K3" s="14">
        <v>4000</v>
      </c>
      <c r="L3" s="15" t="s">
        <v>250</v>
      </c>
      <c r="M3" s="16">
        <f>77205.88/100</f>
        <v>772.05880000000002</v>
      </c>
      <c r="N3" s="16">
        <f t="shared" ref="N3" si="2">M3*19%</f>
        <v>146.69117199999999</v>
      </c>
      <c r="O3" s="16">
        <f t="shared" si="1"/>
        <v>3674999.8880000003</v>
      </c>
      <c r="P3" s="14" t="s">
        <v>95</v>
      </c>
    </row>
    <row r="4" spans="1:16" x14ac:dyDescent="0.3">
      <c r="A4" s="8" t="s">
        <v>1289</v>
      </c>
      <c r="B4" s="9" t="s">
        <v>278</v>
      </c>
      <c r="C4" s="17" t="s">
        <v>1310</v>
      </c>
      <c r="D4" s="11">
        <v>43971</v>
      </c>
      <c r="E4" s="11">
        <v>43969</v>
      </c>
      <c r="F4" s="31">
        <v>7686300</v>
      </c>
      <c r="G4" s="32">
        <v>0</v>
      </c>
      <c r="H4" s="8" t="s">
        <v>368</v>
      </c>
      <c r="I4" s="12">
        <v>900155107</v>
      </c>
      <c r="J4" s="13" t="s">
        <v>1412</v>
      </c>
      <c r="K4" s="14">
        <f>100*50</f>
        <v>5000</v>
      </c>
      <c r="L4" s="15" t="s">
        <v>250</v>
      </c>
      <c r="M4" s="16">
        <f>76863/50</f>
        <v>1537.26</v>
      </c>
      <c r="N4" s="16">
        <v>0</v>
      </c>
      <c r="O4" s="16">
        <f t="shared" si="1"/>
        <v>7686300</v>
      </c>
      <c r="P4" s="19" t="s">
        <v>95</v>
      </c>
    </row>
    <row r="5" spans="1:16" x14ac:dyDescent="0.3">
      <c r="A5" s="8" t="s">
        <v>1289</v>
      </c>
      <c r="B5" s="9" t="s">
        <v>293</v>
      </c>
      <c r="C5" s="17" t="s">
        <v>1311</v>
      </c>
      <c r="D5" s="11">
        <v>43983</v>
      </c>
      <c r="E5" s="11">
        <v>43983</v>
      </c>
      <c r="F5" s="31">
        <v>20300000</v>
      </c>
      <c r="G5" s="32">
        <v>0</v>
      </c>
      <c r="H5" s="8" t="s">
        <v>1312</v>
      </c>
      <c r="I5" s="12">
        <v>890106665</v>
      </c>
      <c r="J5" s="13" t="s">
        <v>1313</v>
      </c>
      <c r="K5" s="14">
        <v>7000</v>
      </c>
      <c r="L5" s="18" t="s">
        <v>250</v>
      </c>
      <c r="M5" s="16">
        <v>2900</v>
      </c>
      <c r="N5" s="16">
        <v>0</v>
      </c>
      <c r="O5" s="16">
        <f t="shared" si="1"/>
        <v>20300000</v>
      </c>
      <c r="P5" s="19" t="s">
        <v>95</v>
      </c>
    </row>
    <row r="6" spans="1:16" x14ac:dyDescent="0.3">
      <c r="A6" s="8" t="s">
        <v>86</v>
      </c>
      <c r="B6" s="9" t="s">
        <v>90</v>
      </c>
      <c r="C6" s="10" t="s">
        <v>91</v>
      </c>
      <c r="D6" s="11">
        <v>43916</v>
      </c>
      <c r="E6" s="11">
        <v>43920</v>
      </c>
      <c r="F6" s="31">
        <v>219927500</v>
      </c>
      <c r="G6" s="32">
        <v>0</v>
      </c>
      <c r="H6" s="8" t="s">
        <v>92</v>
      </c>
      <c r="I6" s="12">
        <v>900521780</v>
      </c>
      <c r="J6" s="13" t="s">
        <v>1412</v>
      </c>
      <c r="K6" s="14">
        <v>150000</v>
      </c>
      <c r="L6" s="18" t="s">
        <v>250</v>
      </c>
      <c r="M6" s="16">
        <f>91000/100</f>
        <v>910</v>
      </c>
      <c r="N6" s="16">
        <v>0</v>
      </c>
      <c r="O6" s="16">
        <f t="shared" si="1"/>
        <v>136500000</v>
      </c>
      <c r="P6" s="14" t="s">
        <v>95</v>
      </c>
    </row>
    <row r="7" spans="1:16" x14ac:dyDescent="0.3">
      <c r="A7" s="8" t="s">
        <v>86</v>
      </c>
      <c r="B7" s="9" t="s">
        <v>119</v>
      </c>
      <c r="C7" s="10" t="s">
        <v>120</v>
      </c>
      <c r="D7" s="11">
        <v>43978</v>
      </c>
      <c r="E7" s="11">
        <v>43980</v>
      </c>
      <c r="F7" s="31">
        <v>418175000</v>
      </c>
      <c r="G7" s="32">
        <v>0</v>
      </c>
      <c r="H7" s="8" t="s">
        <v>121</v>
      </c>
      <c r="I7" s="12">
        <v>900053297</v>
      </c>
      <c r="J7" s="13" t="s">
        <v>122</v>
      </c>
      <c r="K7" s="14">
        <v>100</v>
      </c>
      <c r="L7" s="15" t="s">
        <v>250</v>
      </c>
      <c r="M7" s="16">
        <v>17800</v>
      </c>
      <c r="N7" s="16">
        <v>0</v>
      </c>
      <c r="O7" s="16">
        <f t="shared" si="1"/>
        <v>1780000</v>
      </c>
      <c r="P7" s="14" t="s">
        <v>95</v>
      </c>
    </row>
    <row r="8" spans="1:16" x14ac:dyDescent="0.3">
      <c r="A8" s="8" t="s">
        <v>86</v>
      </c>
      <c r="B8" s="9" t="s">
        <v>119</v>
      </c>
      <c r="C8" s="10" t="s">
        <v>120</v>
      </c>
      <c r="D8" s="11">
        <v>43978</v>
      </c>
      <c r="E8" s="11">
        <v>43980</v>
      </c>
      <c r="F8" s="31">
        <v>418175000</v>
      </c>
      <c r="G8" s="32">
        <v>0</v>
      </c>
      <c r="H8" s="8" t="s">
        <v>121</v>
      </c>
      <c r="I8" s="12">
        <v>900053297</v>
      </c>
      <c r="J8" s="13" t="s">
        <v>125</v>
      </c>
      <c r="K8" s="14">
        <f>3846*50</f>
        <v>192300</v>
      </c>
      <c r="L8" s="15" t="s">
        <v>250</v>
      </c>
      <c r="M8" s="16">
        <f>92500/50</f>
        <v>1850</v>
      </c>
      <c r="N8" s="16">
        <v>0</v>
      </c>
      <c r="O8" s="16">
        <f t="shared" si="1"/>
        <v>355755000</v>
      </c>
      <c r="P8" s="14" t="s">
        <v>95</v>
      </c>
    </row>
    <row r="9" spans="1:16" x14ac:dyDescent="0.3">
      <c r="A9" s="8" t="s">
        <v>153</v>
      </c>
      <c r="B9" s="9" t="s">
        <v>165</v>
      </c>
      <c r="C9" s="10" t="s">
        <v>166</v>
      </c>
      <c r="D9" s="11">
        <v>43938</v>
      </c>
      <c r="E9" s="11">
        <v>43938</v>
      </c>
      <c r="F9" s="31">
        <v>27000000</v>
      </c>
      <c r="G9" s="32">
        <v>0</v>
      </c>
      <c r="H9" s="8" t="s">
        <v>167</v>
      </c>
      <c r="I9" s="12">
        <v>900481697</v>
      </c>
      <c r="J9" s="13" t="s">
        <v>168</v>
      </c>
      <c r="K9" s="14">
        <f>360*50</f>
        <v>18000</v>
      </c>
      <c r="L9" s="15" t="s">
        <v>250</v>
      </c>
      <c r="M9" s="16">
        <f>1500</f>
        <v>1500</v>
      </c>
      <c r="N9" s="16">
        <v>0</v>
      </c>
      <c r="O9" s="16">
        <f t="shared" si="1"/>
        <v>27000000</v>
      </c>
      <c r="P9" s="14" t="s">
        <v>95</v>
      </c>
    </row>
    <row r="10" spans="1:16" x14ac:dyDescent="0.3">
      <c r="A10" s="8" t="s">
        <v>153</v>
      </c>
      <c r="B10" s="9" t="s">
        <v>220</v>
      </c>
      <c r="C10" s="10" t="s">
        <v>221</v>
      </c>
      <c r="D10" s="11">
        <v>43979</v>
      </c>
      <c r="E10" s="11">
        <v>43979</v>
      </c>
      <c r="F10" s="31">
        <v>41536001</v>
      </c>
      <c r="G10" s="32">
        <v>0</v>
      </c>
      <c r="H10" s="8" t="s">
        <v>51</v>
      </c>
      <c r="I10" s="12">
        <v>830001338</v>
      </c>
      <c r="J10" s="13" t="s">
        <v>43</v>
      </c>
      <c r="K10" s="14">
        <f>320*2*50</f>
        <v>32000</v>
      </c>
      <c r="L10" s="15" t="s">
        <v>250</v>
      </c>
      <c r="M10" s="16">
        <f>129800/2/50</f>
        <v>1298</v>
      </c>
      <c r="N10" s="16">
        <v>0</v>
      </c>
      <c r="O10" s="16">
        <f t="shared" si="1"/>
        <v>41536000</v>
      </c>
      <c r="P10" s="14" t="s">
        <v>95</v>
      </c>
    </row>
    <row r="11" spans="1:16" x14ac:dyDescent="0.3">
      <c r="A11" s="8" t="s">
        <v>153</v>
      </c>
      <c r="B11" s="9" t="s">
        <v>222</v>
      </c>
      <c r="C11" s="10" t="s">
        <v>223</v>
      </c>
      <c r="D11" s="11">
        <v>43984</v>
      </c>
      <c r="E11" s="11">
        <v>43984</v>
      </c>
      <c r="F11" s="31">
        <v>278000</v>
      </c>
      <c r="G11" s="32">
        <v>0</v>
      </c>
      <c r="H11" s="8" t="s">
        <v>224</v>
      </c>
      <c r="I11" s="12">
        <v>900300970</v>
      </c>
      <c r="J11" s="13" t="s">
        <v>43</v>
      </c>
      <c r="K11" s="14">
        <f>4*50</f>
        <v>200</v>
      </c>
      <c r="L11" s="15" t="s">
        <v>250</v>
      </c>
      <c r="M11" s="16">
        <f>129000/2/50</f>
        <v>1290</v>
      </c>
      <c r="N11" s="16">
        <v>0</v>
      </c>
      <c r="O11" s="16">
        <f t="shared" si="1"/>
        <v>258000</v>
      </c>
      <c r="P11" s="14" t="s">
        <v>95</v>
      </c>
    </row>
    <row r="12" spans="1:16" x14ac:dyDescent="0.3">
      <c r="A12" s="8" t="s">
        <v>252</v>
      </c>
      <c r="B12" s="9" t="s">
        <v>257</v>
      </c>
      <c r="C12" s="10" t="s">
        <v>258</v>
      </c>
      <c r="D12" s="11">
        <v>43916</v>
      </c>
      <c r="E12" s="11">
        <v>43917</v>
      </c>
      <c r="F12" s="31">
        <v>21397390</v>
      </c>
      <c r="G12" s="32">
        <v>0</v>
      </c>
      <c r="H12" s="8" t="s">
        <v>259</v>
      </c>
      <c r="I12" s="12">
        <v>901165706</v>
      </c>
      <c r="J12" s="13" t="s">
        <v>262</v>
      </c>
      <c r="K12" s="14">
        <f>99.08*100</f>
        <v>9908</v>
      </c>
      <c r="L12" s="15" t="s">
        <v>250</v>
      </c>
      <c r="M12" s="16">
        <f>75000/100</f>
        <v>750</v>
      </c>
      <c r="N12" s="16">
        <v>14250</v>
      </c>
      <c r="O12" s="16">
        <f t="shared" si="1"/>
        <v>148620000</v>
      </c>
      <c r="P12" s="14" t="s">
        <v>95</v>
      </c>
    </row>
    <row r="13" spans="1:16" x14ac:dyDescent="0.3">
      <c r="A13" s="8" t="s">
        <v>252</v>
      </c>
      <c r="B13" s="9" t="s">
        <v>278</v>
      </c>
      <c r="C13" s="10" t="s">
        <v>279</v>
      </c>
      <c r="D13" s="11">
        <v>43970</v>
      </c>
      <c r="E13" s="11">
        <v>43972</v>
      </c>
      <c r="F13" s="31">
        <v>87000000</v>
      </c>
      <c r="G13" s="32">
        <v>0</v>
      </c>
      <c r="H13" s="8" t="s">
        <v>280</v>
      </c>
      <c r="I13" s="12">
        <v>805026532</v>
      </c>
      <c r="J13" s="13" t="s">
        <v>1412</v>
      </c>
      <c r="K13" s="14">
        <f>1160*50</f>
        <v>58000</v>
      </c>
      <c r="L13" s="15" t="s">
        <v>250</v>
      </c>
      <c r="M13" s="16">
        <f>75000/50</f>
        <v>1500</v>
      </c>
      <c r="N13" s="16">
        <v>0</v>
      </c>
      <c r="O13" s="16">
        <f t="shared" si="1"/>
        <v>87000000</v>
      </c>
      <c r="P13" s="14" t="s">
        <v>95</v>
      </c>
    </row>
    <row r="14" spans="1:16" x14ac:dyDescent="0.3">
      <c r="A14" s="8" t="s">
        <v>252</v>
      </c>
      <c r="B14" s="9" t="s">
        <v>316</v>
      </c>
      <c r="C14" s="10" t="s">
        <v>317</v>
      </c>
      <c r="D14" s="11">
        <v>44042</v>
      </c>
      <c r="E14" s="11">
        <v>44047</v>
      </c>
      <c r="F14" s="31">
        <v>92268536.230000004</v>
      </c>
      <c r="G14" s="32">
        <v>0</v>
      </c>
      <c r="H14" s="8" t="s">
        <v>318</v>
      </c>
      <c r="I14" s="12">
        <v>901171132</v>
      </c>
      <c r="J14" s="13" t="s">
        <v>319</v>
      </c>
      <c r="K14" s="14">
        <v>4350.34</v>
      </c>
      <c r="L14" s="15" t="s">
        <v>250</v>
      </c>
      <c r="M14" s="16">
        <v>21209.5</v>
      </c>
      <c r="N14" s="16">
        <v>0</v>
      </c>
      <c r="O14" s="16">
        <f t="shared" ref="O14:O20" si="3">K14*(M14+N14)</f>
        <v>92268536.230000004</v>
      </c>
      <c r="P14" s="14" t="s">
        <v>95</v>
      </c>
    </row>
    <row r="15" spans="1:16" x14ac:dyDescent="0.3">
      <c r="A15" s="8" t="s">
        <v>320</v>
      </c>
      <c r="B15" s="9" t="s">
        <v>328</v>
      </c>
      <c r="C15" s="10" t="s">
        <v>329</v>
      </c>
      <c r="D15" s="11">
        <v>43964</v>
      </c>
      <c r="E15" s="11">
        <v>43965</v>
      </c>
      <c r="F15" s="31">
        <v>34734750</v>
      </c>
      <c r="G15" s="32">
        <v>0</v>
      </c>
      <c r="H15" s="8" t="s">
        <v>330</v>
      </c>
      <c r="I15" s="12">
        <v>1062185</v>
      </c>
      <c r="J15" s="13" t="s">
        <v>1410</v>
      </c>
      <c r="K15" s="14">
        <f>200*50</f>
        <v>10000</v>
      </c>
      <c r="L15" s="15" t="s">
        <v>250</v>
      </c>
      <c r="M15" s="16">
        <f>62500/50</f>
        <v>1250</v>
      </c>
      <c r="N15" s="16">
        <v>0</v>
      </c>
      <c r="O15" s="16">
        <f t="shared" si="3"/>
        <v>12500000</v>
      </c>
      <c r="P15" s="14" t="s">
        <v>95</v>
      </c>
    </row>
    <row r="16" spans="1:16" x14ac:dyDescent="0.3">
      <c r="A16" s="8" t="s">
        <v>320</v>
      </c>
      <c r="B16" s="9" t="s">
        <v>328</v>
      </c>
      <c r="C16" s="10" t="s">
        <v>329</v>
      </c>
      <c r="D16" s="11">
        <v>43964</v>
      </c>
      <c r="E16" s="11">
        <v>43965</v>
      </c>
      <c r="F16" s="31">
        <v>34734750</v>
      </c>
      <c r="G16" s="32">
        <v>0</v>
      </c>
      <c r="H16" s="8" t="s">
        <v>330</v>
      </c>
      <c r="I16" s="12">
        <v>1062185</v>
      </c>
      <c r="J16" s="13" t="s">
        <v>1411</v>
      </c>
      <c r="K16" s="14">
        <f>151*50</f>
        <v>7550</v>
      </c>
      <c r="L16" s="15" t="s">
        <v>250</v>
      </c>
      <c r="M16" s="16">
        <f>147250/50</f>
        <v>2945</v>
      </c>
      <c r="N16" s="16">
        <v>0</v>
      </c>
      <c r="O16" s="16">
        <f t="shared" si="3"/>
        <v>22234750</v>
      </c>
      <c r="P16" s="14" t="s">
        <v>95</v>
      </c>
    </row>
    <row r="17" spans="1:16" x14ac:dyDescent="0.3">
      <c r="A17" s="8" t="s">
        <v>320</v>
      </c>
      <c r="B17" s="9" t="s">
        <v>346</v>
      </c>
      <c r="C17" s="10" t="s">
        <v>347</v>
      </c>
      <c r="D17" s="11">
        <v>43956</v>
      </c>
      <c r="E17" s="11">
        <v>43956</v>
      </c>
      <c r="F17" s="31">
        <v>52694400</v>
      </c>
      <c r="G17" s="32">
        <v>0</v>
      </c>
      <c r="H17" s="8" t="s">
        <v>348</v>
      </c>
      <c r="I17" s="12">
        <v>900935453</v>
      </c>
      <c r="J17" s="13" t="s">
        <v>43</v>
      </c>
      <c r="K17" s="14">
        <f>100*100</f>
        <v>10000</v>
      </c>
      <c r="L17" s="15" t="s">
        <v>250</v>
      </c>
      <c r="M17" s="16">
        <f>130000/100</f>
        <v>1300</v>
      </c>
      <c r="N17" s="16">
        <v>0</v>
      </c>
      <c r="O17" s="16">
        <f t="shared" si="3"/>
        <v>13000000</v>
      </c>
      <c r="P17" s="14" t="s">
        <v>95</v>
      </c>
    </row>
    <row r="18" spans="1:16" x14ac:dyDescent="0.3">
      <c r="A18" s="8" t="s">
        <v>320</v>
      </c>
      <c r="B18" s="9" t="s">
        <v>346</v>
      </c>
      <c r="C18" s="10" t="s">
        <v>347</v>
      </c>
      <c r="D18" s="11">
        <v>43956</v>
      </c>
      <c r="E18" s="11">
        <v>43956</v>
      </c>
      <c r="F18" s="31">
        <v>52694400</v>
      </c>
      <c r="G18" s="32">
        <v>0</v>
      </c>
      <c r="H18" s="8" t="s">
        <v>348</v>
      </c>
      <c r="I18" s="12">
        <v>900935453</v>
      </c>
      <c r="J18" s="13" t="s">
        <v>1413</v>
      </c>
      <c r="K18" s="14">
        <f>130*100</f>
        <v>13000</v>
      </c>
      <c r="L18" s="15" t="s">
        <v>250</v>
      </c>
      <c r="M18" s="16">
        <f>295000/100</f>
        <v>2950</v>
      </c>
      <c r="N18" s="16">
        <v>0</v>
      </c>
      <c r="O18" s="16">
        <f t="shared" si="3"/>
        <v>38350000</v>
      </c>
      <c r="P18" s="14" t="s">
        <v>95</v>
      </c>
    </row>
    <row r="19" spans="1:16" x14ac:dyDescent="0.3">
      <c r="A19" s="8" t="s">
        <v>320</v>
      </c>
      <c r="B19" s="9" t="s">
        <v>370</v>
      </c>
      <c r="C19" s="10" t="s">
        <v>371</v>
      </c>
      <c r="D19" s="11">
        <v>43986</v>
      </c>
      <c r="E19" s="11">
        <v>43986</v>
      </c>
      <c r="F19" s="31">
        <v>11123450</v>
      </c>
      <c r="G19" s="32">
        <v>0</v>
      </c>
      <c r="H19" s="8" t="s">
        <v>372</v>
      </c>
      <c r="I19" s="12">
        <v>900342297</v>
      </c>
      <c r="J19" s="13" t="s">
        <v>1275</v>
      </c>
      <c r="K19" s="14">
        <v>7000</v>
      </c>
      <c r="L19" s="15" t="s">
        <v>250</v>
      </c>
      <c r="M19" s="16">
        <v>1580</v>
      </c>
      <c r="N19" s="16">
        <v>0</v>
      </c>
      <c r="O19" s="16">
        <f t="shared" si="3"/>
        <v>11060000</v>
      </c>
      <c r="P19" s="14" t="s">
        <v>95</v>
      </c>
    </row>
    <row r="20" spans="1:16" x14ac:dyDescent="0.3">
      <c r="A20" s="8" t="s">
        <v>1322</v>
      </c>
      <c r="B20" s="9" t="s">
        <v>1323</v>
      </c>
      <c r="C20" s="17" t="s">
        <v>1324</v>
      </c>
      <c r="D20" s="11">
        <v>43951</v>
      </c>
      <c r="E20" s="11">
        <v>43920</v>
      </c>
      <c r="F20" s="31">
        <v>27875000</v>
      </c>
      <c r="G20" s="32">
        <v>0</v>
      </c>
      <c r="H20" s="8" t="s">
        <v>1325</v>
      </c>
      <c r="I20" s="12">
        <v>152446212</v>
      </c>
      <c r="J20" s="13" t="s">
        <v>1414</v>
      </c>
      <c r="K20" s="14">
        <f>250*50</f>
        <v>12500</v>
      </c>
      <c r="L20" s="15" t="s">
        <v>250</v>
      </c>
      <c r="M20" s="16">
        <f>87500/50</f>
        <v>1750</v>
      </c>
      <c r="N20" s="16">
        <v>0</v>
      </c>
      <c r="O20" s="16">
        <f t="shared" si="3"/>
        <v>21875000</v>
      </c>
      <c r="P20" s="19" t="s">
        <v>95</v>
      </c>
    </row>
    <row r="21" spans="1:16" x14ac:dyDescent="0.3">
      <c r="A21" s="8" t="s">
        <v>1322</v>
      </c>
      <c r="B21" s="9" t="s">
        <v>1323</v>
      </c>
      <c r="C21" s="17" t="s">
        <v>1365</v>
      </c>
      <c r="D21" s="11">
        <v>43951</v>
      </c>
      <c r="E21" s="11">
        <v>43920</v>
      </c>
      <c r="F21" s="31">
        <v>27875000</v>
      </c>
      <c r="G21" s="32">
        <v>0</v>
      </c>
      <c r="H21" s="8" t="s">
        <v>1325</v>
      </c>
      <c r="I21" s="12">
        <v>152446212</v>
      </c>
      <c r="J21" s="13" t="s">
        <v>1326</v>
      </c>
      <c r="K21" s="14">
        <v>600</v>
      </c>
      <c r="L21" s="15" t="s">
        <v>250</v>
      </c>
      <c r="M21" s="16">
        <v>10000</v>
      </c>
      <c r="N21" s="16">
        <v>0</v>
      </c>
      <c r="O21" s="16">
        <f t="shared" ref="O21:O24" si="4">K21*(M21+N21)</f>
        <v>6000000</v>
      </c>
      <c r="P21" s="19" t="s">
        <v>95</v>
      </c>
    </row>
    <row r="22" spans="1:16" x14ac:dyDescent="0.3">
      <c r="A22" s="8" t="s">
        <v>1322</v>
      </c>
      <c r="B22" s="9" t="s">
        <v>1330</v>
      </c>
      <c r="C22" s="17" t="s">
        <v>1331</v>
      </c>
      <c r="D22" s="11">
        <v>43945</v>
      </c>
      <c r="E22" s="11">
        <v>43945</v>
      </c>
      <c r="F22" s="31">
        <v>37196160</v>
      </c>
      <c r="G22" s="32">
        <v>0</v>
      </c>
      <c r="H22" s="8" t="s">
        <v>200</v>
      </c>
      <c r="I22" s="12">
        <v>800037946</v>
      </c>
      <c r="J22" s="13" t="s">
        <v>1415</v>
      </c>
      <c r="K22" s="14">
        <v>33000</v>
      </c>
      <c r="L22" s="15" t="s">
        <v>250</v>
      </c>
      <c r="M22" s="16">
        <f>54100/100</f>
        <v>541</v>
      </c>
      <c r="N22" s="16">
        <v>0</v>
      </c>
      <c r="O22" s="16">
        <f t="shared" si="4"/>
        <v>17853000</v>
      </c>
      <c r="P22" s="19" t="s">
        <v>95</v>
      </c>
    </row>
    <row r="23" spans="1:16" x14ac:dyDescent="0.3">
      <c r="A23" s="8" t="s">
        <v>1322</v>
      </c>
      <c r="B23" s="9" t="s">
        <v>1353</v>
      </c>
      <c r="C23" s="17" t="s">
        <v>1354</v>
      </c>
      <c r="D23" s="11">
        <v>43969</v>
      </c>
      <c r="E23" s="11">
        <v>43969</v>
      </c>
      <c r="F23" s="31">
        <v>189000000</v>
      </c>
      <c r="G23" s="32">
        <v>0</v>
      </c>
      <c r="H23" s="8" t="s">
        <v>348</v>
      </c>
      <c r="I23" s="12">
        <v>9009354530</v>
      </c>
      <c r="J23" s="13" t="s">
        <v>43</v>
      </c>
      <c r="K23" s="14">
        <v>145000</v>
      </c>
      <c r="L23" s="15" t="s">
        <v>250</v>
      </c>
      <c r="M23" s="16">
        <f>130000/100</f>
        <v>1300</v>
      </c>
      <c r="N23" s="16">
        <v>0</v>
      </c>
      <c r="O23" s="16">
        <f t="shared" si="4"/>
        <v>188500000</v>
      </c>
      <c r="P23" s="19" t="s">
        <v>95</v>
      </c>
    </row>
    <row r="24" spans="1:16" x14ac:dyDescent="0.3">
      <c r="A24" s="8" t="s">
        <v>1322</v>
      </c>
      <c r="B24" s="9" t="s">
        <v>1358</v>
      </c>
      <c r="C24" s="17" t="s">
        <v>1366</v>
      </c>
      <c r="D24" s="11">
        <v>43966</v>
      </c>
      <c r="E24" s="11">
        <v>43966</v>
      </c>
      <c r="F24" s="31">
        <v>5445000</v>
      </c>
      <c r="G24" s="32">
        <v>0</v>
      </c>
      <c r="H24" s="8" t="s">
        <v>1132</v>
      </c>
      <c r="I24" s="12">
        <v>807369955</v>
      </c>
      <c r="J24" s="13" t="s">
        <v>43</v>
      </c>
      <c r="K24" s="14">
        <v>5000</v>
      </c>
      <c r="L24" s="15" t="s">
        <v>250</v>
      </c>
      <c r="M24" s="16">
        <f>98900/100</f>
        <v>989</v>
      </c>
      <c r="N24" s="16">
        <v>0</v>
      </c>
      <c r="O24" s="16">
        <f t="shared" si="4"/>
        <v>4945000</v>
      </c>
      <c r="P24" s="19" t="s">
        <v>95</v>
      </c>
    </row>
    <row r="25" spans="1:16" x14ac:dyDescent="0.3">
      <c r="A25" s="8" t="s">
        <v>387</v>
      </c>
      <c r="B25" s="9" t="s">
        <v>392</v>
      </c>
      <c r="C25" s="10" t="s">
        <v>393</v>
      </c>
      <c r="D25" s="11">
        <v>43963</v>
      </c>
      <c r="E25" s="11">
        <v>43963</v>
      </c>
      <c r="F25" s="31">
        <v>166018725</v>
      </c>
      <c r="G25" s="32">
        <v>0</v>
      </c>
      <c r="H25" s="8" t="s">
        <v>390</v>
      </c>
      <c r="I25" s="12">
        <v>813005241</v>
      </c>
      <c r="J25" s="13" t="s">
        <v>1416</v>
      </c>
      <c r="K25" s="14">
        <v>26000</v>
      </c>
      <c r="L25" s="15" t="s">
        <v>250</v>
      </c>
      <c r="M25" s="16">
        <v>1100</v>
      </c>
      <c r="N25" s="16">
        <v>0</v>
      </c>
      <c r="O25" s="16">
        <v>28600000</v>
      </c>
      <c r="P25" s="14" t="s">
        <v>95</v>
      </c>
    </row>
    <row r="26" spans="1:16" x14ac:dyDescent="0.3">
      <c r="A26" s="8" t="s">
        <v>387</v>
      </c>
      <c r="B26" s="9" t="s">
        <v>397</v>
      </c>
      <c r="C26" s="10" t="s">
        <v>398</v>
      </c>
      <c r="D26" s="11">
        <v>44015</v>
      </c>
      <c r="E26" s="11">
        <v>44018</v>
      </c>
      <c r="F26" s="31">
        <v>201000100</v>
      </c>
      <c r="G26" s="32">
        <v>0</v>
      </c>
      <c r="H26" s="8" t="s">
        <v>390</v>
      </c>
      <c r="I26" s="12">
        <v>813005241</v>
      </c>
      <c r="J26" s="13" t="s">
        <v>95</v>
      </c>
      <c r="K26" s="14">
        <v>75000</v>
      </c>
      <c r="L26" s="15" t="s">
        <v>250</v>
      </c>
      <c r="M26" s="16">
        <v>1320</v>
      </c>
      <c r="N26" s="16">
        <v>0</v>
      </c>
      <c r="O26" s="16">
        <f t="shared" ref="O26" si="5">K26*M26</f>
        <v>99000000</v>
      </c>
      <c r="P26" s="14" t="s">
        <v>95</v>
      </c>
    </row>
    <row r="27" spans="1:16" x14ac:dyDescent="0.3">
      <c r="A27" s="8" t="s">
        <v>407</v>
      </c>
      <c r="B27" s="9" t="s">
        <v>411</v>
      </c>
      <c r="C27" s="10" t="s">
        <v>1221</v>
      </c>
      <c r="D27" s="11">
        <v>43910</v>
      </c>
      <c r="E27" s="11">
        <v>43910</v>
      </c>
      <c r="F27" s="31">
        <v>9496200</v>
      </c>
      <c r="G27" s="32">
        <v>0</v>
      </c>
      <c r="H27" s="8" t="s">
        <v>412</v>
      </c>
      <c r="I27" s="12">
        <v>890806147</v>
      </c>
      <c r="J27" s="13" t="s">
        <v>1417</v>
      </c>
      <c r="K27" s="14">
        <f>143*50</f>
        <v>7150</v>
      </c>
      <c r="L27" s="15" t="s">
        <v>250</v>
      </c>
      <c r="M27" s="16">
        <v>600</v>
      </c>
      <c r="N27" s="16">
        <f t="shared" ref="N27:N29" si="6">M27*0.19</f>
        <v>114</v>
      </c>
      <c r="O27" s="16">
        <f t="shared" ref="O27:O33" si="7">K27*(M27+N27)</f>
        <v>5105100</v>
      </c>
      <c r="P27" s="14" t="s">
        <v>95</v>
      </c>
    </row>
    <row r="28" spans="1:16" x14ac:dyDescent="0.3">
      <c r="A28" s="8" t="s">
        <v>407</v>
      </c>
      <c r="B28" s="9" t="s">
        <v>411</v>
      </c>
      <c r="C28" s="10" t="s">
        <v>1221</v>
      </c>
      <c r="D28" s="11">
        <v>43910</v>
      </c>
      <c r="E28" s="11">
        <v>43910</v>
      </c>
      <c r="F28" s="31">
        <v>9496200</v>
      </c>
      <c r="G28" s="32">
        <v>0</v>
      </c>
      <c r="H28" s="8" t="s">
        <v>412</v>
      </c>
      <c r="I28" s="12">
        <v>890806147</v>
      </c>
      <c r="J28" s="13" t="s">
        <v>1409</v>
      </c>
      <c r="K28" s="14">
        <v>30</v>
      </c>
      <c r="L28" s="15" t="s">
        <v>250</v>
      </c>
      <c r="M28" s="16">
        <v>25000</v>
      </c>
      <c r="N28" s="16">
        <f t="shared" si="6"/>
        <v>4750</v>
      </c>
      <c r="O28" s="16">
        <f t="shared" si="7"/>
        <v>892500</v>
      </c>
      <c r="P28" s="14" t="s">
        <v>95</v>
      </c>
    </row>
    <row r="29" spans="1:16" x14ac:dyDescent="0.3">
      <c r="A29" s="8" t="s">
        <v>407</v>
      </c>
      <c r="B29" s="9" t="s">
        <v>419</v>
      </c>
      <c r="C29" s="10" t="s">
        <v>1224</v>
      </c>
      <c r="D29" s="11">
        <v>43929</v>
      </c>
      <c r="E29" s="11">
        <v>43929</v>
      </c>
      <c r="F29" s="31">
        <v>6799660</v>
      </c>
      <c r="G29" s="32">
        <v>0</v>
      </c>
      <c r="H29" s="8" t="s">
        <v>420</v>
      </c>
      <c r="I29" s="12">
        <v>810001350</v>
      </c>
      <c r="J29" s="13" t="s">
        <v>421</v>
      </c>
      <c r="K29" s="14">
        <v>2000</v>
      </c>
      <c r="L29" s="15" t="s">
        <v>250</v>
      </c>
      <c r="M29" s="16">
        <v>2857</v>
      </c>
      <c r="N29" s="16">
        <f t="shared" si="6"/>
        <v>542.83000000000004</v>
      </c>
      <c r="O29" s="16">
        <f t="shared" si="7"/>
        <v>6799660</v>
      </c>
      <c r="P29" s="14" t="s">
        <v>95</v>
      </c>
    </row>
    <row r="30" spans="1:16" x14ac:dyDescent="0.3">
      <c r="A30" s="8" t="s">
        <v>407</v>
      </c>
      <c r="B30" s="9" t="s">
        <v>483</v>
      </c>
      <c r="C30" s="10" t="s">
        <v>1227</v>
      </c>
      <c r="D30" s="11">
        <v>44020</v>
      </c>
      <c r="E30" s="11">
        <v>44021</v>
      </c>
      <c r="F30" s="31">
        <v>4425000</v>
      </c>
      <c r="G30" s="32">
        <v>1500000</v>
      </c>
      <c r="H30" s="8" t="s">
        <v>484</v>
      </c>
      <c r="I30" s="12">
        <v>900829708</v>
      </c>
      <c r="J30" s="13" t="s">
        <v>43</v>
      </c>
      <c r="K30" s="14">
        <f>59+20*100</f>
        <v>2059</v>
      </c>
      <c r="L30" s="15" t="s">
        <v>250</v>
      </c>
      <c r="M30" s="16">
        <f>75000/100</f>
        <v>750</v>
      </c>
      <c r="N30" s="16">
        <v>0</v>
      </c>
      <c r="O30" s="16">
        <f t="shared" si="7"/>
        <v>1544250</v>
      </c>
      <c r="P30" s="14" t="s">
        <v>95</v>
      </c>
    </row>
    <row r="31" spans="1:16" x14ac:dyDescent="0.3">
      <c r="A31" s="8" t="s">
        <v>490</v>
      </c>
      <c r="B31" s="9" t="s">
        <v>526</v>
      </c>
      <c r="C31" s="10" t="s">
        <v>527</v>
      </c>
      <c r="D31" s="11">
        <v>43920</v>
      </c>
      <c r="E31" s="11">
        <v>43920</v>
      </c>
      <c r="F31" s="31">
        <v>26983488</v>
      </c>
      <c r="G31" s="32">
        <v>0</v>
      </c>
      <c r="H31" s="8" t="s">
        <v>528</v>
      </c>
      <c r="I31" s="12">
        <v>900727931</v>
      </c>
      <c r="J31" s="13" t="s">
        <v>529</v>
      </c>
      <c r="K31" s="14">
        <v>10000</v>
      </c>
      <c r="L31" s="15" t="s">
        <v>250</v>
      </c>
      <c r="M31" s="16">
        <v>1850</v>
      </c>
      <c r="N31" s="16">
        <f t="shared" ref="N31" si="8">M31*0.19</f>
        <v>351.5</v>
      </c>
      <c r="O31" s="16">
        <f t="shared" si="7"/>
        <v>22015000</v>
      </c>
      <c r="P31" s="14" t="s">
        <v>95</v>
      </c>
    </row>
    <row r="32" spans="1:16" x14ac:dyDescent="0.3">
      <c r="A32" s="8" t="s">
        <v>490</v>
      </c>
      <c r="B32" s="9" t="s">
        <v>532</v>
      </c>
      <c r="C32" s="10" t="s">
        <v>527</v>
      </c>
      <c r="D32" s="11">
        <v>43950</v>
      </c>
      <c r="E32" s="11">
        <v>43950</v>
      </c>
      <c r="F32" s="31">
        <v>51899000</v>
      </c>
      <c r="G32" s="32">
        <v>0</v>
      </c>
      <c r="H32" s="8" t="s">
        <v>528</v>
      </c>
      <c r="I32" s="12">
        <v>900727931</v>
      </c>
      <c r="J32" s="13" t="s">
        <v>533</v>
      </c>
      <c r="K32" s="14">
        <v>34151</v>
      </c>
      <c r="L32" s="15" t="s">
        <v>250</v>
      </c>
      <c r="M32" s="16">
        <v>1000</v>
      </c>
      <c r="N32" s="16">
        <v>0</v>
      </c>
      <c r="O32" s="16">
        <f t="shared" si="7"/>
        <v>34151000</v>
      </c>
      <c r="P32" s="14" t="s">
        <v>95</v>
      </c>
    </row>
    <row r="33" spans="1:16" x14ac:dyDescent="0.3">
      <c r="A33" s="8" t="s">
        <v>490</v>
      </c>
      <c r="B33" s="9" t="s">
        <v>532</v>
      </c>
      <c r="C33" s="10" t="s">
        <v>527</v>
      </c>
      <c r="D33" s="11">
        <v>43950</v>
      </c>
      <c r="E33" s="11">
        <v>43956</v>
      </c>
      <c r="F33" s="31">
        <v>0</v>
      </c>
      <c r="G33" s="32">
        <v>150000000</v>
      </c>
      <c r="H33" s="8" t="s">
        <v>528</v>
      </c>
      <c r="I33" s="12">
        <v>900727931</v>
      </c>
      <c r="J33" s="13" t="s">
        <v>538</v>
      </c>
      <c r="K33" s="14">
        <v>150000</v>
      </c>
      <c r="L33" s="15" t="s">
        <v>250</v>
      </c>
      <c r="M33" s="16">
        <v>1000</v>
      </c>
      <c r="N33" s="16">
        <v>0</v>
      </c>
      <c r="O33" s="16">
        <f t="shared" si="7"/>
        <v>150000000</v>
      </c>
      <c r="P33" s="14" t="s">
        <v>95</v>
      </c>
    </row>
    <row r="34" spans="1:16" x14ac:dyDescent="0.3">
      <c r="A34" s="8" t="s">
        <v>544</v>
      </c>
      <c r="B34" s="9" t="s">
        <v>545</v>
      </c>
      <c r="C34" s="10" t="s">
        <v>546</v>
      </c>
      <c r="D34" s="11" t="s">
        <v>547</v>
      </c>
      <c r="E34" s="11" t="s">
        <v>547</v>
      </c>
      <c r="F34" s="31">
        <v>21078782</v>
      </c>
      <c r="G34" s="32">
        <v>0</v>
      </c>
      <c r="H34" s="8" t="s">
        <v>548</v>
      </c>
      <c r="I34" s="12">
        <v>900406714</v>
      </c>
      <c r="J34" s="13" t="s">
        <v>1418</v>
      </c>
      <c r="K34" s="14">
        <f>30*50</f>
        <v>1500</v>
      </c>
      <c r="L34" s="15" t="s">
        <v>250</v>
      </c>
      <c r="M34" s="16">
        <f>29117.64/50</f>
        <v>582.3528</v>
      </c>
      <c r="N34" s="16">
        <f t="shared" ref="N34:N35" si="9">M34*0.19</f>
        <v>110.647032</v>
      </c>
      <c r="O34" s="16">
        <f t="shared" ref="O34:O36" si="10">K34*(M34+N34)</f>
        <v>1039499.7479999999</v>
      </c>
      <c r="P34" s="14" t="s">
        <v>95</v>
      </c>
    </row>
    <row r="35" spans="1:16" x14ac:dyDescent="0.3">
      <c r="A35" s="8" t="s">
        <v>544</v>
      </c>
      <c r="B35" s="9" t="s">
        <v>573</v>
      </c>
      <c r="C35" s="10" t="s">
        <v>564</v>
      </c>
      <c r="D35" s="11" t="s">
        <v>565</v>
      </c>
      <c r="E35" s="11" t="s">
        <v>565</v>
      </c>
      <c r="F35" s="31">
        <v>6426000</v>
      </c>
      <c r="G35" s="32">
        <v>0</v>
      </c>
      <c r="H35" s="8" t="s">
        <v>574</v>
      </c>
      <c r="I35" s="12">
        <v>901212927</v>
      </c>
      <c r="J35" s="13" t="s">
        <v>575</v>
      </c>
      <c r="K35" s="14">
        <v>3000</v>
      </c>
      <c r="L35" s="15" t="s">
        <v>250</v>
      </c>
      <c r="M35" s="16">
        <v>1800</v>
      </c>
      <c r="N35" s="16">
        <f t="shared" si="9"/>
        <v>342</v>
      </c>
      <c r="O35" s="16">
        <f t="shared" si="10"/>
        <v>6426000</v>
      </c>
      <c r="P35" s="14" t="s">
        <v>95</v>
      </c>
    </row>
    <row r="36" spans="1:16" x14ac:dyDescent="0.3">
      <c r="A36" s="8" t="s">
        <v>544</v>
      </c>
      <c r="B36" s="9" t="s">
        <v>599</v>
      </c>
      <c r="C36" s="10" t="s">
        <v>600</v>
      </c>
      <c r="D36" s="11">
        <v>43987</v>
      </c>
      <c r="E36" s="11">
        <v>43987</v>
      </c>
      <c r="F36" s="31">
        <v>131250000</v>
      </c>
      <c r="G36" s="32">
        <v>0</v>
      </c>
      <c r="H36" s="8" t="s">
        <v>601</v>
      </c>
      <c r="I36" s="12">
        <v>901220553</v>
      </c>
      <c r="J36" s="13" t="s">
        <v>602</v>
      </c>
      <c r="K36" s="14">
        <v>72000</v>
      </c>
      <c r="L36" s="15" t="s">
        <v>250</v>
      </c>
      <c r="M36" s="16">
        <v>1150</v>
      </c>
      <c r="N36" s="16">
        <v>0</v>
      </c>
      <c r="O36" s="16">
        <f t="shared" si="10"/>
        <v>82800000</v>
      </c>
      <c r="P36" s="14" t="s">
        <v>95</v>
      </c>
    </row>
    <row r="37" spans="1:16" x14ac:dyDescent="0.3">
      <c r="A37" s="8" t="s">
        <v>623</v>
      </c>
      <c r="B37" s="9" t="s">
        <v>634</v>
      </c>
      <c r="C37" s="10" t="s">
        <v>625</v>
      </c>
      <c r="D37" s="11">
        <v>43910</v>
      </c>
      <c r="E37" s="11">
        <v>43915</v>
      </c>
      <c r="F37" s="31">
        <v>15600000</v>
      </c>
      <c r="G37" s="32">
        <v>0</v>
      </c>
      <c r="H37" s="8" t="s">
        <v>635</v>
      </c>
      <c r="I37" s="12">
        <v>900920737</v>
      </c>
      <c r="J37" s="13" t="s">
        <v>636</v>
      </c>
      <c r="K37" s="14">
        <v>6240</v>
      </c>
      <c r="L37" s="15" t="s">
        <v>250</v>
      </c>
      <c r="M37" s="16">
        <v>2500</v>
      </c>
      <c r="N37" s="16">
        <v>0</v>
      </c>
      <c r="O37" s="16">
        <f t="shared" ref="O37:O65" si="11">K37*(M37+N37)</f>
        <v>15600000</v>
      </c>
      <c r="P37" s="14" t="s">
        <v>95</v>
      </c>
    </row>
    <row r="38" spans="1:16" x14ac:dyDescent="0.3">
      <c r="A38" s="8" t="s">
        <v>623</v>
      </c>
      <c r="B38" s="9" t="s">
        <v>660</v>
      </c>
      <c r="C38" s="10" t="s">
        <v>661</v>
      </c>
      <c r="D38" s="11">
        <v>43978</v>
      </c>
      <c r="E38" s="11">
        <v>43985</v>
      </c>
      <c r="F38" s="31">
        <v>87780000</v>
      </c>
      <c r="G38" s="32">
        <v>0</v>
      </c>
      <c r="H38" s="8" t="s">
        <v>662</v>
      </c>
      <c r="I38" s="12">
        <v>900490455</v>
      </c>
      <c r="J38" s="13" t="s">
        <v>663</v>
      </c>
      <c r="K38" s="14">
        <v>26692</v>
      </c>
      <c r="L38" s="15" t="s">
        <v>250</v>
      </c>
      <c r="M38" s="16">
        <v>2500</v>
      </c>
      <c r="N38" s="16">
        <v>0</v>
      </c>
      <c r="O38" s="16">
        <f t="shared" si="11"/>
        <v>66730000</v>
      </c>
      <c r="P38" s="14" t="s">
        <v>95</v>
      </c>
    </row>
    <row r="39" spans="1:16" x14ac:dyDescent="0.3">
      <c r="A39" s="8" t="s">
        <v>623</v>
      </c>
      <c r="B39" s="9" t="s">
        <v>668</v>
      </c>
      <c r="C39" s="10" t="s">
        <v>661</v>
      </c>
      <c r="D39" s="11">
        <v>43979</v>
      </c>
      <c r="E39" s="11">
        <v>43985</v>
      </c>
      <c r="F39" s="31">
        <v>87642600</v>
      </c>
      <c r="G39" s="32">
        <v>0</v>
      </c>
      <c r="H39" s="8" t="s">
        <v>657</v>
      </c>
      <c r="I39" s="12">
        <v>900347045</v>
      </c>
      <c r="J39" s="13" t="s">
        <v>669</v>
      </c>
      <c r="K39" s="14">
        <f>928*50</f>
        <v>46400</v>
      </c>
      <c r="L39" s="15" t="s">
        <v>250</v>
      </c>
      <c r="M39" s="16">
        <f>73500/50</f>
        <v>1470</v>
      </c>
      <c r="N39" s="16">
        <v>0</v>
      </c>
      <c r="O39" s="16">
        <f t="shared" si="11"/>
        <v>68208000</v>
      </c>
      <c r="P39" s="14" t="s">
        <v>95</v>
      </c>
    </row>
    <row r="40" spans="1:16" x14ac:dyDescent="0.3">
      <c r="A40" s="8" t="s">
        <v>693</v>
      </c>
      <c r="B40" s="9" t="s">
        <v>694</v>
      </c>
      <c r="C40" s="10" t="s">
        <v>695</v>
      </c>
      <c r="D40" s="11">
        <v>43944</v>
      </c>
      <c r="E40" s="11">
        <v>43944</v>
      </c>
      <c r="F40" s="31">
        <v>19975000</v>
      </c>
      <c r="G40" s="32">
        <v>0</v>
      </c>
      <c r="H40" s="8" t="s">
        <v>696</v>
      </c>
      <c r="I40" s="12">
        <v>830137645</v>
      </c>
      <c r="J40" s="13" t="s">
        <v>1420</v>
      </c>
      <c r="K40" s="14">
        <f>250*100</f>
        <v>25000</v>
      </c>
      <c r="L40" s="15" t="s">
        <v>250</v>
      </c>
      <c r="M40" s="16">
        <f>79900/100</f>
        <v>799</v>
      </c>
      <c r="N40" s="16">
        <v>0</v>
      </c>
      <c r="O40" s="16">
        <f t="shared" si="11"/>
        <v>19975000</v>
      </c>
      <c r="P40" s="14" t="s">
        <v>95</v>
      </c>
    </row>
    <row r="41" spans="1:16" x14ac:dyDescent="0.3">
      <c r="A41" s="8" t="s">
        <v>693</v>
      </c>
      <c r="B41" s="9" t="s">
        <v>723</v>
      </c>
      <c r="C41" s="10" t="s">
        <v>724</v>
      </c>
      <c r="D41" s="11">
        <v>44001</v>
      </c>
      <c r="E41" s="11">
        <v>44001</v>
      </c>
      <c r="F41" s="31">
        <v>84864000</v>
      </c>
      <c r="G41" s="32">
        <v>0</v>
      </c>
      <c r="H41" s="8" t="s">
        <v>725</v>
      </c>
      <c r="I41" s="12">
        <v>900401081</v>
      </c>
      <c r="J41" s="13" t="s">
        <v>1419</v>
      </c>
      <c r="K41" s="14">
        <v>81600</v>
      </c>
      <c r="L41" s="15" t="s">
        <v>250</v>
      </c>
      <c r="M41" s="16">
        <f>104000/100</f>
        <v>1040</v>
      </c>
      <c r="N41" s="16">
        <v>0</v>
      </c>
      <c r="O41" s="16">
        <f t="shared" si="11"/>
        <v>84864000</v>
      </c>
      <c r="P41" s="14" t="s">
        <v>95</v>
      </c>
    </row>
    <row r="42" spans="1:16" x14ac:dyDescent="0.3">
      <c r="A42" s="8" t="s">
        <v>728</v>
      </c>
      <c r="B42" s="9">
        <v>1483604</v>
      </c>
      <c r="C42" s="10" t="s">
        <v>729</v>
      </c>
      <c r="D42" s="11">
        <v>43922</v>
      </c>
      <c r="E42" s="11">
        <v>43923</v>
      </c>
      <c r="F42" s="31">
        <v>36816642</v>
      </c>
      <c r="G42" s="32">
        <v>0</v>
      </c>
      <c r="H42" s="8" t="s">
        <v>730</v>
      </c>
      <c r="I42" s="12">
        <v>860054854</v>
      </c>
      <c r="J42" s="13" t="s">
        <v>733</v>
      </c>
      <c r="K42" s="14">
        <v>1000</v>
      </c>
      <c r="L42" s="15" t="s">
        <v>250</v>
      </c>
      <c r="M42" s="16">
        <v>6676</v>
      </c>
      <c r="N42" s="16">
        <v>0</v>
      </c>
      <c r="O42" s="16">
        <f t="shared" si="11"/>
        <v>6676000</v>
      </c>
      <c r="P42" s="14" t="s">
        <v>95</v>
      </c>
    </row>
    <row r="43" spans="1:16" x14ac:dyDescent="0.3">
      <c r="A43" s="8" t="s">
        <v>728</v>
      </c>
      <c r="B43" s="9">
        <v>1547625</v>
      </c>
      <c r="C43" s="10" t="s">
        <v>741</v>
      </c>
      <c r="D43" s="11">
        <v>43957</v>
      </c>
      <c r="E43" s="11">
        <v>43959</v>
      </c>
      <c r="F43" s="31">
        <v>24999480</v>
      </c>
      <c r="G43" s="32">
        <v>0</v>
      </c>
      <c r="H43" s="8" t="s">
        <v>742</v>
      </c>
      <c r="I43" s="12">
        <v>813005241</v>
      </c>
      <c r="J43" s="13" t="s">
        <v>743</v>
      </c>
      <c r="K43" s="14">
        <f>378.78*50</f>
        <v>18939</v>
      </c>
      <c r="L43" s="15" t="s">
        <v>250</v>
      </c>
      <c r="M43" s="16">
        <f>66000/50</f>
        <v>1320</v>
      </c>
      <c r="N43" s="16">
        <v>0</v>
      </c>
      <c r="O43" s="16">
        <f t="shared" si="11"/>
        <v>24999480</v>
      </c>
      <c r="P43" s="14" t="s">
        <v>95</v>
      </c>
    </row>
    <row r="44" spans="1:16" x14ac:dyDescent="0.3">
      <c r="A44" s="8" t="s">
        <v>1231</v>
      </c>
      <c r="B44" s="9" t="s">
        <v>1232</v>
      </c>
      <c r="C44" s="17" t="s">
        <v>1233</v>
      </c>
      <c r="D44" s="11">
        <v>43915</v>
      </c>
      <c r="E44" s="11">
        <v>43916</v>
      </c>
      <c r="F44" s="31">
        <v>79231499</v>
      </c>
      <c r="G44" s="32">
        <v>0</v>
      </c>
      <c r="H44" s="8" t="s">
        <v>1234</v>
      </c>
      <c r="I44" s="12">
        <v>900916649</v>
      </c>
      <c r="J44" s="13" t="s">
        <v>1415</v>
      </c>
      <c r="K44" s="14">
        <f>300*50</f>
        <v>15000</v>
      </c>
      <c r="L44" s="15" t="s">
        <v>250</v>
      </c>
      <c r="M44" s="16">
        <f>80000/50</f>
        <v>1600</v>
      </c>
      <c r="N44" s="16">
        <v>0</v>
      </c>
      <c r="O44" s="16">
        <f t="shared" si="11"/>
        <v>24000000</v>
      </c>
      <c r="P44" s="14" t="s">
        <v>95</v>
      </c>
    </row>
    <row r="45" spans="1:16" x14ac:dyDescent="0.3">
      <c r="A45" s="8" t="s">
        <v>1231</v>
      </c>
      <c r="B45" s="9" t="s">
        <v>1232</v>
      </c>
      <c r="C45" s="17" t="s">
        <v>1233</v>
      </c>
      <c r="D45" s="11">
        <v>43915</v>
      </c>
      <c r="E45" s="11">
        <v>43916</v>
      </c>
      <c r="F45" s="31">
        <v>79231499</v>
      </c>
      <c r="G45" s="32">
        <v>0</v>
      </c>
      <c r="H45" s="8" t="s">
        <v>1234</v>
      </c>
      <c r="I45" s="12">
        <v>900916649</v>
      </c>
      <c r="J45" s="13" t="s">
        <v>1421</v>
      </c>
      <c r="K45" s="14">
        <v>200</v>
      </c>
      <c r="L45" s="15" t="s">
        <v>250</v>
      </c>
      <c r="M45" s="16">
        <f>900000/50</f>
        <v>18000</v>
      </c>
      <c r="N45" s="16">
        <v>0</v>
      </c>
      <c r="O45" s="16">
        <f t="shared" si="11"/>
        <v>3600000</v>
      </c>
      <c r="P45" s="14" t="s">
        <v>95</v>
      </c>
    </row>
    <row r="46" spans="1:16" x14ac:dyDescent="0.3">
      <c r="A46" s="8" t="s">
        <v>885</v>
      </c>
      <c r="B46" s="9" t="s">
        <v>915</v>
      </c>
      <c r="C46" s="17" t="s">
        <v>916</v>
      </c>
      <c r="D46" s="11">
        <v>43917</v>
      </c>
      <c r="E46" s="11">
        <v>43917</v>
      </c>
      <c r="F46" s="31">
        <v>1832949</v>
      </c>
      <c r="G46" s="32">
        <v>0</v>
      </c>
      <c r="H46" s="8" t="s">
        <v>917</v>
      </c>
      <c r="I46" s="12">
        <v>815004985</v>
      </c>
      <c r="J46" s="13" t="s">
        <v>920</v>
      </c>
      <c r="K46" s="14">
        <v>1000</v>
      </c>
      <c r="L46" s="15" t="s">
        <v>250</v>
      </c>
      <c r="M46" s="16">
        <v>1021.901</v>
      </c>
      <c r="N46" s="16">
        <v>0</v>
      </c>
      <c r="O46" s="16">
        <f t="shared" si="11"/>
        <v>1021901</v>
      </c>
      <c r="P46" s="14" t="s">
        <v>95</v>
      </c>
    </row>
    <row r="47" spans="1:16" x14ac:dyDescent="0.3">
      <c r="A47" s="8" t="s">
        <v>885</v>
      </c>
      <c r="B47" s="9" t="s">
        <v>933</v>
      </c>
      <c r="C47" s="17" t="s">
        <v>934</v>
      </c>
      <c r="D47" s="11">
        <v>43944</v>
      </c>
      <c r="E47" s="11">
        <v>43945</v>
      </c>
      <c r="F47" s="31">
        <v>2000000</v>
      </c>
      <c r="G47" s="32">
        <v>0</v>
      </c>
      <c r="H47" s="8" t="s">
        <v>917</v>
      </c>
      <c r="I47" s="12">
        <v>815004985</v>
      </c>
      <c r="J47" s="13" t="s">
        <v>935</v>
      </c>
      <c r="K47" s="14">
        <v>2000</v>
      </c>
      <c r="L47" s="15" t="s">
        <v>250</v>
      </c>
      <c r="M47" s="16">
        <v>1000</v>
      </c>
      <c r="N47" s="16">
        <v>0</v>
      </c>
      <c r="O47" s="16">
        <f t="shared" si="11"/>
        <v>2000000</v>
      </c>
      <c r="P47" s="14" t="s">
        <v>95</v>
      </c>
    </row>
    <row r="48" spans="1:16" x14ac:dyDescent="0.3">
      <c r="A48" s="8" t="s">
        <v>885</v>
      </c>
      <c r="B48" s="9" t="s">
        <v>936</v>
      </c>
      <c r="C48" s="17" t="s">
        <v>937</v>
      </c>
      <c r="D48" s="11">
        <v>43969</v>
      </c>
      <c r="E48" s="11">
        <v>43942</v>
      </c>
      <c r="F48" s="31">
        <v>2682000</v>
      </c>
      <c r="G48" s="32">
        <v>0</v>
      </c>
      <c r="H48" s="8" t="s">
        <v>938</v>
      </c>
      <c r="I48" s="12">
        <v>901285199</v>
      </c>
      <c r="J48" s="13" t="s">
        <v>939</v>
      </c>
      <c r="K48" s="14">
        <v>1490</v>
      </c>
      <c r="L48" s="15" t="s">
        <v>250</v>
      </c>
      <c r="M48" s="16">
        <v>1800</v>
      </c>
      <c r="N48" s="16">
        <v>0</v>
      </c>
      <c r="O48" s="16">
        <f t="shared" si="11"/>
        <v>2682000</v>
      </c>
      <c r="P48" s="14" t="s">
        <v>95</v>
      </c>
    </row>
    <row r="49" spans="1:16" x14ac:dyDescent="0.3">
      <c r="A49" s="8" t="s">
        <v>885</v>
      </c>
      <c r="B49" s="9">
        <v>48786</v>
      </c>
      <c r="C49" s="17" t="s">
        <v>944</v>
      </c>
      <c r="D49" s="11">
        <v>43970</v>
      </c>
      <c r="E49" s="11">
        <v>43970</v>
      </c>
      <c r="F49" s="31">
        <v>8900000</v>
      </c>
      <c r="G49" s="32">
        <v>3800000</v>
      </c>
      <c r="H49" s="8" t="s">
        <v>945</v>
      </c>
      <c r="I49" s="12">
        <v>900401081</v>
      </c>
      <c r="J49" s="13" t="s">
        <v>946</v>
      </c>
      <c r="K49" s="14">
        <v>12700</v>
      </c>
      <c r="L49" s="15" t="s">
        <v>250</v>
      </c>
      <c r="M49" s="16">
        <v>1000</v>
      </c>
      <c r="N49" s="16">
        <v>0</v>
      </c>
      <c r="O49" s="16">
        <f t="shared" si="11"/>
        <v>12700000</v>
      </c>
      <c r="P49" s="14" t="s">
        <v>95</v>
      </c>
    </row>
    <row r="50" spans="1:16" x14ac:dyDescent="0.3">
      <c r="A50" s="8" t="s">
        <v>885</v>
      </c>
      <c r="B50" s="9">
        <v>50705</v>
      </c>
      <c r="C50" s="17" t="s">
        <v>957</v>
      </c>
      <c r="D50" s="11">
        <v>44000</v>
      </c>
      <c r="E50" s="11">
        <v>44000</v>
      </c>
      <c r="F50" s="31">
        <v>49500001</v>
      </c>
      <c r="G50" s="32">
        <v>0</v>
      </c>
      <c r="H50" s="8" t="s">
        <v>945</v>
      </c>
      <c r="I50" s="12">
        <v>900401081</v>
      </c>
      <c r="J50" s="13" t="s">
        <v>946</v>
      </c>
      <c r="K50" s="14">
        <v>50000</v>
      </c>
      <c r="L50" s="15" t="s">
        <v>250</v>
      </c>
      <c r="M50" s="16">
        <v>990.00001999999995</v>
      </c>
      <c r="N50" s="16">
        <v>0</v>
      </c>
      <c r="O50" s="16">
        <f t="shared" si="11"/>
        <v>49500001</v>
      </c>
      <c r="P50" s="14" t="s">
        <v>95</v>
      </c>
    </row>
    <row r="51" spans="1:16" x14ac:dyDescent="0.3">
      <c r="A51" s="8" t="s">
        <v>959</v>
      </c>
      <c r="B51" s="9">
        <v>35</v>
      </c>
      <c r="C51" s="10" t="s">
        <v>960</v>
      </c>
      <c r="D51" s="11">
        <v>43478</v>
      </c>
      <c r="E51" s="11">
        <v>43801</v>
      </c>
      <c r="F51" s="31">
        <v>0</v>
      </c>
      <c r="G51" s="32">
        <v>67434392</v>
      </c>
      <c r="H51" s="8" t="s">
        <v>961</v>
      </c>
      <c r="I51" s="12">
        <v>811044253</v>
      </c>
      <c r="J51" s="13" t="s">
        <v>965</v>
      </c>
      <c r="K51" s="14">
        <v>3998</v>
      </c>
      <c r="L51" s="15" t="s">
        <v>250</v>
      </c>
      <c r="M51" s="16">
        <v>1842</v>
      </c>
      <c r="N51" s="16">
        <v>0</v>
      </c>
      <c r="O51" s="16">
        <f t="shared" si="11"/>
        <v>7364316</v>
      </c>
      <c r="P51" s="14" t="s">
        <v>95</v>
      </c>
    </row>
    <row r="52" spans="1:16" x14ac:dyDescent="0.3">
      <c r="A52" s="8" t="s">
        <v>959</v>
      </c>
      <c r="B52" s="9">
        <v>35</v>
      </c>
      <c r="C52" s="10" t="s">
        <v>960</v>
      </c>
      <c r="D52" s="11">
        <v>43477</v>
      </c>
      <c r="E52" s="11">
        <v>43800</v>
      </c>
      <c r="F52" s="31">
        <v>0</v>
      </c>
      <c r="G52" s="32">
        <v>67434392</v>
      </c>
      <c r="H52" s="8" t="s">
        <v>961</v>
      </c>
      <c r="I52" s="12">
        <v>811044253</v>
      </c>
      <c r="J52" s="13" t="s">
        <v>966</v>
      </c>
      <c r="K52" s="14">
        <v>1000</v>
      </c>
      <c r="L52" s="15" t="s">
        <v>250</v>
      </c>
      <c r="M52" s="16">
        <v>3680</v>
      </c>
      <c r="N52" s="16">
        <v>0</v>
      </c>
      <c r="O52" s="16">
        <f t="shared" si="11"/>
        <v>3680000</v>
      </c>
      <c r="P52" s="14" t="s">
        <v>95</v>
      </c>
    </row>
    <row r="53" spans="1:16" x14ac:dyDescent="0.3">
      <c r="A53" s="8" t="s">
        <v>976</v>
      </c>
      <c r="B53" s="9" t="s">
        <v>977</v>
      </c>
      <c r="C53" s="10" t="s">
        <v>978</v>
      </c>
      <c r="D53" s="11">
        <v>43914</v>
      </c>
      <c r="E53" s="11">
        <v>43914</v>
      </c>
      <c r="F53" s="31">
        <v>19313663</v>
      </c>
      <c r="G53" s="32">
        <v>0</v>
      </c>
      <c r="H53" s="8" t="s">
        <v>979</v>
      </c>
      <c r="I53" s="12">
        <v>92511814</v>
      </c>
      <c r="J53" s="13" t="s">
        <v>981</v>
      </c>
      <c r="K53" s="14">
        <v>1500</v>
      </c>
      <c r="L53" s="15" t="s">
        <v>250</v>
      </c>
      <c r="M53" s="16">
        <f>420000/100</f>
        <v>4200</v>
      </c>
      <c r="N53" s="16">
        <f>M53*0.19</f>
        <v>798</v>
      </c>
      <c r="O53" s="16">
        <f t="shared" si="11"/>
        <v>7497000</v>
      </c>
      <c r="P53" s="14" t="s">
        <v>95</v>
      </c>
    </row>
    <row r="54" spans="1:16" x14ac:dyDescent="0.3">
      <c r="A54" s="8" t="s">
        <v>976</v>
      </c>
      <c r="B54" s="9" t="s">
        <v>987</v>
      </c>
      <c r="C54" s="10" t="s">
        <v>978</v>
      </c>
      <c r="D54" s="11">
        <v>43937</v>
      </c>
      <c r="E54" s="11">
        <v>43937</v>
      </c>
      <c r="F54" s="31">
        <v>36963400</v>
      </c>
      <c r="G54" s="32">
        <v>0</v>
      </c>
      <c r="H54" s="8" t="s">
        <v>988</v>
      </c>
      <c r="I54" s="12">
        <v>901008660</v>
      </c>
      <c r="J54" s="13" t="s">
        <v>990</v>
      </c>
      <c r="K54" s="14">
        <v>12000</v>
      </c>
      <c r="L54" s="15" t="s">
        <v>250</v>
      </c>
      <c r="M54" s="16">
        <f>235200/100</f>
        <v>2352</v>
      </c>
      <c r="N54" s="16">
        <v>0</v>
      </c>
      <c r="O54" s="16">
        <f t="shared" si="11"/>
        <v>28224000</v>
      </c>
      <c r="P54" s="14" t="s">
        <v>95</v>
      </c>
    </row>
    <row r="55" spans="1:16" x14ac:dyDescent="0.3">
      <c r="A55" s="8" t="s">
        <v>976</v>
      </c>
      <c r="B55" s="9" t="s">
        <v>1028</v>
      </c>
      <c r="C55" s="10" t="s">
        <v>1029</v>
      </c>
      <c r="D55" s="11">
        <v>43971</v>
      </c>
      <c r="E55" s="11">
        <v>43971</v>
      </c>
      <c r="F55" s="31">
        <v>14137298</v>
      </c>
      <c r="G55" s="32">
        <v>0</v>
      </c>
      <c r="H55" s="8" t="s">
        <v>1030</v>
      </c>
      <c r="I55" s="12">
        <v>66973463</v>
      </c>
      <c r="J55" s="13" t="s">
        <v>1251</v>
      </c>
      <c r="K55" s="14">
        <f>94*100</f>
        <v>9400</v>
      </c>
      <c r="L55" s="15" t="s">
        <v>250</v>
      </c>
      <c r="M55" s="16">
        <f>148925.53/100</f>
        <v>1489.2553</v>
      </c>
      <c r="N55" s="16">
        <v>0</v>
      </c>
      <c r="O55" s="16">
        <f t="shared" si="11"/>
        <v>13998999.82</v>
      </c>
      <c r="P55" s="14" t="s">
        <v>95</v>
      </c>
    </row>
    <row r="56" spans="1:16" x14ac:dyDescent="0.3">
      <c r="A56" s="8" t="s">
        <v>976</v>
      </c>
      <c r="B56" s="9" t="s">
        <v>1031</v>
      </c>
      <c r="C56" s="10" t="s">
        <v>1029</v>
      </c>
      <c r="D56" s="11">
        <v>43974</v>
      </c>
      <c r="E56" s="11">
        <v>43974</v>
      </c>
      <c r="F56" s="31">
        <v>27680850.550000001</v>
      </c>
      <c r="G56" s="32">
        <v>0</v>
      </c>
      <c r="H56" s="8" t="s">
        <v>224</v>
      </c>
      <c r="I56" s="12">
        <v>900300970</v>
      </c>
      <c r="J56" s="13" t="s">
        <v>1252</v>
      </c>
      <c r="K56" s="14">
        <v>20000</v>
      </c>
      <c r="L56" s="15" t="s">
        <v>250</v>
      </c>
      <c r="M56" s="16">
        <f>137234.04/100</f>
        <v>1372.3404</v>
      </c>
      <c r="N56" s="16">
        <v>0</v>
      </c>
      <c r="O56" s="16">
        <f t="shared" si="11"/>
        <v>27446808</v>
      </c>
      <c r="P56" s="14" t="s">
        <v>95</v>
      </c>
    </row>
    <row r="57" spans="1:16" x14ac:dyDescent="0.3">
      <c r="A57" s="8" t="s">
        <v>976</v>
      </c>
      <c r="B57" s="9" t="s">
        <v>1258</v>
      </c>
      <c r="C57" s="10" t="s">
        <v>1259</v>
      </c>
      <c r="D57" s="11">
        <v>43770</v>
      </c>
      <c r="E57" s="11">
        <v>43936</v>
      </c>
      <c r="F57" s="31">
        <v>0</v>
      </c>
      <c r="G57" s="32">
        <v>31068000</v>
      </c>
      <c r="H57" s="8" t="s">
        <v>1260</v>
      </c>
      <c r="I57" s="12">
        <v>812000152</v>
      </c>
      <c r="J57" s="13" t="s">
        <v>1268</v>
      </c>
      <c r="K57" s="14">
        <v>6500</v>
      </c>
      <c r="L57" s="15" t="s">
        <v>250</v>
      </c>
      <c r="M57" s="16">
        <f>180000/100</f>
        <v>1800</v>
      </c>
      <c r="N57" s="16">
        <v>0</v>
      </c>
      <c r="O57" s="16">
        <f t="shared" si="11"/>
        <v>11700000</v>
      </c>
      <c r="P57" s="14" t="s">
        <v>95</v>
      </c>
    </row>
    <row r="58" spans="1:16" x14ac:dyDescent="0.3">
      <c r="A58" s="8" t="s">
        <v>1055</v>
      </c>
      <c r="B58" s="9" t="s">
        <v>1059</v>
      </c>
      <c r="C58" s="10" t="s">
        <v>1060</v>
      </c>
      <c r="D58" s="11">
        <v>43909</v>
      </c>
      <c r="E58" s="11">
        <v>43909</v>
      </c>
      <c r="F58" s="31">
        <v>29028000</v>
      </c>
      <c r="G58" s="32">
        <v>0</v>
      </c>
      <c r="H58" s="8" t="s">
        <v>1061</v>
      </c>
      <c r="I58" s="12">
        <v>900837029</v>
      </c>
      <c r="J58" s="13" t="s">
        <v>1420</v>
      </c>
      <c r="K58" s="14">
        <v>9300</v>
      </c>
      <c r="L58" s="15" t="s">
        <v>250</v>
      </c>
      <c r="M58" s="16">
        <f>166000/1.19/100</f>
        <v>1394.9579831932774</v>
      </c>
      <c r="N58" s="16">
        <f t="shared" ref="N58" si="12">M58*0.19</f>
        <v>265.0420168067227</v>
      </c>
      <c r="O58" s="16">
        <f t="shared" si="11"/>
        <v>15438000</v>
      </c>
      <c r="P58" s="14" t="s">
        <v>95</v>
      </c>
    </row>
    <row r="59" spans="1:16" x14ac:dyDescent="0.3">
      <c r="A59" s="8" t="s">
        <v>1055</v>
      </c>
      <c r="B59" s="9" t="s">
        <v>1070</v>
      </c>
      <c r="C59" s="10" t="s">
        <v>1071</v>
      </c>
      <c r="D59" s="11">
        <v>43966</v>
      </c>
      <c r="E59" s="11">
        <v>43969</v>
      </c>
      <c r="F59" s="31">
        <v>13396000</v>
      </c>
      <c r="G59" s="32">
        <v>0</v>
      </c>
      <c r="H59" s="8" t="s">
        <v>1072</v>
      </c>
      <c r="I59" s="12">
        <v>900342297</v>
      </c>
      <c r="J59" s="13" t="s">
        <v>1073</v>
      </c>
      <c r="K59" s="14">
        <v>4000</v>
      </c>
      <c r="L59" s="15" t="s">
        <v>250</v>
      </c>
      <c r="M59" s="16">
        <f>334900/100</f>
        <v>3349</v>
      </c>
      <c r="N59" s="16">
        <v>0</v>
      </c>
      <c r="O59" s="16">
        <f t="shared" si="11"/>
        <v>13396000</v>
      </c>
      <c r="P59" s="14" t="s">
        <v>95</v>
      </c>
    </row>
    <row r="60" spans="1:16" x14ac:dyDescent="0.3">
      <c r="A60" s="8" t="s">
        <v>1115</v>
      </c>
      <c r="B60" s="9">
        <v>2</v>
      </c>
      <c r="C60" s="10" t="s">
        <v>1119</v>
      </c>
      <c r="D60" s="11">
        <v>43931</v>
      </c>
      <c r="E60" s="11">
        <v>43936</v>
      </c>
      <c r="F60" s="31">
        <v>21896000</v>
      </c>
      <c r="G60" s="32">
        <v>0</v>
      </c>
      <c r="H60" s="8" t="s">
        <v>1120</v>
      </c>
      <c r="I60" s="12">
        <v>900712491</v>
      </c>
      <c r="J60" s="13" t="s">
        <v>1423</v>
      </c>
      <c r="K60" s="14">
        <f>400*50</f>
        <v>20000</v>
      </c>
      <c r="L60" s="15" t="s">
        <v>250</v>
      </c>
      <c r="M60" s="16">
        <f>46000/50</f>
        <v>920</v>
      </c>
      <c r="N60" s="16">
        <f>M60*0.19</f>
        <v>174.8</v>
      </c>
      <c r="O60" s="16">
        <f t="shared" si="11"/>
        <v>21896000</v>
      </c>
      <c r="P60" s="19" t="s">
        <v>95</v>
      </c>
    </row>
    <row r="61" spans="1:16" x14ac:dyDescent="0.3">
      <c r="A61" s="8" t="s">
        <v>1115</v>
      </c>
      <c r="B61" s="9" t="s">
        <v>1133</v>
      </c>
      <c r="C61" s="10" t="s">
        <v>1134</v>
      </c>
      <c r="D61" s="11">
        <v>43958</v>
      </c>
      <c r="E61" s="11">
        <v>43958</v>
      </c>
      <c r="F61" s="31">
        <v>5095000</v>
      </c>
      <c r="G61" s="32">
        <v>0</v>
      </c>
      <c r="H61" s="8" t="s">
        <v>1132</v>
      </c>
      <c r="I61" s="12">
        <v>80736955</v>
      </c>
      <c r="J61" s="13" t="s">
        <v>1422</v>
      </c>
      <c r="K61" s="14">
        <v>5000</v>
      </c>
      <c r="L61" s="15" t="s">
        <v>250</v>
      </c>
      <c r="M61" s="16">
        <f>98900/100</f>
        <v>989</v>
      </c>
      <c r="N61" s="16">
        <v>0</v>
      </c>
      <c r="O61" s="16">
        <f t="shared" si="11"/>
        <v>4945000</v>
      </c>
      <c r="P61" s="19" t="s">
        <v>95</v>
      </c>
    </row>
    <row r="62" spans="1:16" x14ac:dyDescent="0.3">
      <c r="A62" s="8" t="s">
        <v>1115</v>
      </c>
      <c r="B62" s="9" t="s">
        <v>1135</v>
      </c>
      <c r="C62" s="10" t="s">
        <v>1136</v>
      </c>
      <c r="D62" s="11">
        <v>43965</v>
      </c>
      <c r="E62" s="11">
        <v>43965</v>
      </c>
      <c r="F62" s="31">
        <v>71093750</v>
      </c>
      <c r="G62" s="32">
        <v>0</v>
      </c>
      <c r="H62" s="8" t="s">
        <v>42</v>
      </c>
      <c r="I62" s="12">
        <v>901243179</v>
      </c>
      <c r="J62" s="13" t="s">
        <v>1137</v>
      </c>
      <c r="K62" s="14">
        <v>75000</v>
      </c>
      <c r="L62" s="15" t="s">
        <v>250</v>
      </c>
      <c r="M62" s="16">
        <f>93750/100</f>
        <v>937.5</v>
      </c>
      <c r="N62" s="16">
        <v>0</v>
      </c>
      <c r="O62" s="16">
        <f t="shared" si="11"/>
        <v>70312500</v>
      </c>
      <c r="P62" s="19" t="s">
        <v>95</v>
      </c>
    </row>
    <row r="63" spans="1:16" x14ac:dyDescent="0.3">
      <c r="A63" s="8" t="s">
        <v>1161</v>
      </c>
      <c r="B63" s="9" t="s">
        <v>1172</v>
      </c>
      <c r="C63" s="10" t="s">
        <v>1173</v>
      </c>
      <c r="D63" s="11">
        <v>43943</v>
      </c>
      <c r="E63" s="11">
        <v>43943</v>
      </c>
      <c r="F63" s="31">
        <v>3900000</v>
      </c>
      <c r="G63" s="32">
        <v>0</v>
      </c>
      <c r="H63" s="8" t="s">
        <v>1174</v>
      </c>
      <c r="I63" s="12">
        <v>900536323</v>
      </c>
      <c r="J63" s="13" t="s">
        <v>1276</v>
      </c>
      <c r="K63" s="14">
        <v>3000</v>
      </c>
      <c r="L63" s="15" t="s">
        <v>250</v>
      </c>
      <c r="M63" s="16">
        <v>1300</v>
      </c>
      <c r="N63" s="16">
        <v>0</v>
      </c>
      <c r="O63" s="16">
        <f t="shared" si="11"/>
        <v>3900000</v>
      </c>
      <c r="P63" s="14" t="s">
        <v>95</v>
      </c>
    </row>
    <row r="64" spans="1:16" x14ac:dyDescent="0.3">
      <c r="A64" s="8" t="s">
        <v>1161</v>
      </c>
      <c r="B64" s="9" t="s">
        <v>1179</v>
      </c>
      <c r="C64" s="10" t="s">
        <v>1176</v>
      </c>
      <c r="D64" s="11">
        <v>43965</v>
      </c>
      <c r="E64" s="11">
        <v>43965</v>
      </c>
      <c r="F64" s="31">
        <v>4000000</v>
      </c>
      <c r="G64" s="32">
        <v>0</v>
      </c>
      <c r="H64" s="8" t="s">
        <v>1180</v>
      </c>
      <c r="I64" s="12">
        <v>900401081</v>
      </c>
      <c r="J64" s="13" t="s">
        <v>1181</v>
      </c>
      <c r="K64" s="14">
        <v>4000</v>
      </c>
      <c r="L64" s="15" t="s">
        <v>250</v>
      </c>
      <c r="M64" s="16">
        <v>1000</v>
      </c>
      <c r="N64" s="16">
        <v>0</v>
      </c>
      <c r="O64" s="16">
        <f t="shared" si="11"/>
        <v>4000000</v>
      </c>
      <c r="P64" s="14" t="s">
        <v>95</v>
      </c>
    </row>
    <row r="65" spans="1:16" x14ac:dyDescent="0.3">
      <c r="A65" s="8" t="s">
        <v>1161</v>
      </c>
      <c r="B65" s="9" t="s">
        <v>1212</v>
      </c>
      <c r="C65" s="10" t="s">
        <v>1213</v>
      </c>
      <c r="D65" s="11">
        <v>44008</v>
      </c>
      <c r="E65" s="11">
        <v>44008</v>
      </c>
      <c r="F65" s="31">
        <v>5394001</v>
      </c>
      <c r="G65" s="32">
        <v>0</v>
      </c>
      <c r="H65" s="8" t="s">
        <v>51</v>
      </c>
      <c r="I65" s="12">
        <v>830001338</v>
      </c>
      <c r="J65" s="13" t="s">
        <v>1214</v>
      </c>
      <c r="K65" s="14">
        <v>6000</v>
      </c>
      <c r="L65" s="15" t="s">
        <v>250</v>
      </c>
      <c r="M65" s="16">
        <v>899</v>
      </c>
      <c r="N65" s="16">
        <v>0</v>
      </c>
      <c r="O65" s="16">
        <f t="shared" si="11"/>
        <v>5394000</v>
      </c>
      <c r="P65" s="14" t="s">
        <v>95</v>
      </c>
    </row>
  </sheetData>
  <dataValidations count="19">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2 A2:B2 A4:B5 D4:I5 D6:E6 E7 E9 E12:E13 E15:E16 E19:E22 E34:E35 E38 E44:E46 E51:E52 E54:E56 E58 D61:I63 A61:B6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3:E3 E17:E18 D23:E25 D30:E33 D36:E37 D39:E43 D47:E48 D50:E50 D60:E60 D64:E6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7 B9 D14 B19:B22 B24:B25 B30:B38 B44:B45 B53:B5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7:H9 H12 H19:H25 H30:H39 H44 H47:H48 H53:H54 H58 H60 H64:H65">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7:I9 I15 I19 I23 I34:I35 I38:I39 I44 I47:I48 I54 I58 I60 I64:I6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7:A11 A14:A16 A19:A22 A24:A37 A44:A45 A47:A48 A53:A5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7:F9 F19:F22 F33:F35 F38 F44:F45 F51:F56 F58 F6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7 D9 D12 D19:D22 D34:D35 D38 D44:D46 D49:E49 D51:D56 E53 D58 D59:E59">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3">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B14">
      <formula1>0</formula1>
      <formula2>290</formula2>
    </dataValidation>
    <dataValidation type="textLength" allowBlank="1" showInputMessage="1" showErrorMessage="1" errorTitle="Entrada no válida" error="Escriba un texto  Maximo 8 Caracteres" promptTitle="Cualquier contenido Maximo 8 Caracteres" prompt=" Registre los 8 digitos del código SECOP" sqref="F14">
      <formula1>0</formula1>
      <formula2>8</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H14">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14 I20:I22 I30 I33 I45">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17:A18 A23 A64:A6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3 B39 B47:B48 B64:B6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3:F24 F37 F39 F47:F48 F60 F64:F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25">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6:G27 G29 G44:G45 G54">
      <formula1>-9223372036854770000</formula1>
      <formula2>9223372036854770000</formula2>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J1" workbookViewId="0">
      <selection activeCell="O10" sqref="O10"/>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153</v>
      </c>
      <c r="B2" s="9" t="s">
        <v>192</v>
      </c>
      <c r="C2" s="10" t="s">
        <v>193</v>
      </c>
      <c r="D2" s="11">
        <v>43963</v>
      </c>
      <c r="E2" s="11">
        <v>43964</v>
      </c>
      <c r="F2" s="31">
        <v>10399998</v>
      </c>
      <c r="G2" s="32">
        <v>0</v>
      </c>
      <c r="H2" s="8" t="s">
        <v>194</v>
      </c>
      <c r="I2" s="12">
        <v>900151140</v>
      </c>
      <c r="J2" s="13" t="s">
        <v>195</v>
      </c>
      <c r="K2" s="14">
        <v>32</v>
      </c>
      <c r="L2" s="15" t="s">
        <v>251</v>
      </c>
      <c r="M2" s="16">
        <v>210083.99</v>
      </c>
      <c r="N2" s="16">
        <f>M2*0.19</f>
        <v>39915.958099999996</v>
      </c>
      <c r="O2" s="16">
        <f>K2*(M2+N2)</f>
        <v>7999998.3391999993</v>
      </c>
      <c r="P2" s="14" t="s">
        <v>196</v>
      </c>
    </row>
    <row r="3" spans="1:16" x14ac:dyDescent="0.3">
      <c r="A3" s="8" t="s">
        <v>252</v>
      </c>
      <c r="B3" s="9" t="s">
        <v>119</v>
      </c>
      <c r="C3" s="10" t="s">
        <v>297</v>
      </c>
      <c r="D3" s="11">
        <v>43990</v>
      </c>
      <c r="E3" s="11">
        <v>43991</v>
      </c>
      <c r="F3" s="31">
        <v>87724140</v>
      </c>
      <c r="G3" s="32">
        <v>87708173</v>
      </c>
      <c r="H3" s="8" t="s">
        <v>298</v>
      </c>
      <c r="I3" s="12">
        <v>800078360</v>
      </c>
      <c r="J3" s="13" t="s">
        <v>196</v>
      </c>
      <c r="K3" s="14">
        <v>75</v>
      </c>
      <c r="L3" s="15" t="s">
        <v>250</v>
      </c>
      <c r="M3" s="16">
        <v>150000</v>
      </c>
      <c r="N3" s="16">
        <f>M3*0.19</f>
        <v>28500</v>
      </c>
      <c r="O3" s="16">
        <f t="shared" ref="O3" si="0">K3*(M3+N3)</f>
        <v>13387500</v>
      </c>
      <c r="P3" s="14" t="s">
        <v>196</v>
      </c>
    </row>
    <row r="4" spans="1:16" x14ac:dyDescent="0.3">
      <c r="A4" s="8" t="s">
        <v>1322</v>
      </c>
      <c r="B4" s="9" t="s">
        <v>1348</v>
      </c>
      <c r="C4" s="17" t="s">
        <v>1349</v>
      </c>
      <c r="D4" s="11">
        <v>43985</v>
      </c>
      <c r="E4" s="11">
        <v>43985</v>
      </c>
      <c r="F4" s="31">
        <v>22580250</v>
      </c>
      <c r="G4" s="32">
        <v>0</v>
      </c>
      <c r="H4" s="8" t="s">
        <v>1350</v>
      </c>
      <c r="I4" s="12">
        <v>1090509490</v>
      </c>
      <c r="J4" s="13" t="s">
        <v>1351</v>
      </c>
      <c r="K4" s="14">
        <v>47</v>
      </c>
      <c r="L4" s="15" t="s">
        <v>250</v>
      </c>
      <c r="M4" s="16">
        <v>285000</v>
      </c>
      <c r="N4" s="16">
        <f>M4*0.19</f>
        <v>54150</v>
      </c>
      <c r="O4" s="16">
        <f>K4*(M4+N4)</f>
        <v>15940050</v>
      </c>
      <c r="P4" s="19" t="s">
        <v>196</v>
      </c>
    </row>
    <row r="5" spans="1:16" x14ac:dyDescent="0.3">
      <c r="A5" s="8" t="s">
        <v>1322</v>
      </c>
      <c r="B5" s="9" t="s">
        <v>1348</v>
      </c>
      <c r="C5" s="17" t="s">
        <v>1349</v>
      </c>
      <c r="D5" s="11">
        <v>43985</v>
      </c>
      <c r="E5" s="11">
        <v>43985</v>
      </c>
      <c r="F5" s="31">
        <v>22580250</v>
      </c>
      <c r="G5" s="32">
        <v>0</v>
      </c>
      <c r="H5" s="8" t="s">
        <v>1350</v>
      </c>
      <c r="I5" s="12">
        <v>1090509490</v>
      </c>
      <c r="J5" s="13" t="s">
        <v>1352</v>
      </c>
      <c r="K5" s="14">
        <v>12</v>
      </c>
      <c r="L5" s="15" t="s">
        <v>250</v>
      </c>
      <c r="M5" s="16">
        <v>465000</v>
      </c>
      <c r="N5" s="16">
        <f>M5*0.19</f>
        <v>88350</v>
      </c>
      <c r="O5" s="16">
        <f>K5*(M5+N5)</f>
        <v>6640200</v>
      </c>
      <c r="P5" s="19" t="s">
        <v>196</v>
      </c>
    </row>
    <row r="6" spans="1:16" x14ac:dyDescent="0.3">
      <c r="A6" s="8" t="s">
        <v>623</v>
      </c>
      <c r="B6" s="9" t="s">
        <v>683</v>
      </c>
      <c r="C6" s="10" t="s">
        <v>661</v>
      </c>
      <c r="D6" s="11">
        <v>43985</v>
      </c>
      <c r="E6" s="11">
        <v>43990</v>
      </c>
      <c r="F6" s="31">
        <v>11400000</v>
      </c>
      <c r="G6" s="32">
        <v>0</v>
      </c>
      <c r="H6" s="8" t="s">
        <v>681</v>
      </c>
      <c r="I6" s="12">
        <v>900348560</v>
      </c>
      <c r="J6" s="13" t="s">
        <v>684</v>
      </c>
      <c r="K6" s="14">
        <v>60</v>
      </c>
      <c r="L6" s="15" t="s">
        <v>250</v>
      </c>
      <c r="M6" s="16">
        <v>190000</v>
      </c>
      <c r="N6" s="16">
        <v>0</v>
      </c>
      <c r="O6" s="16">
        <f t="shared" ref="O6:O10" si="1">K6*(M6+N6)</f>
        <v>11400000</v>
      </c>
      <c r="P6" s="14" t="s">
        <v>196</v>
      </c>
    </row>
    <row r="7" spans="1:16" x14ac:dyDescent="0.3">
      <c r="A7" s="8" t="s">
        <v>693</v>
      </c>
      <c r="B7" s="9" t="s">
        <v>719</v>
      </c>
      <c r="C7" s="10" t="s">
        <v>720</v>
      </c>
      <c r="D7" s="11">
        <v>43999</v>
      </c>
      <c r="E7" s="11">
        <v>43999</v>
      </c>
      <c r="F7" s="31">
        <v>18939000</v>
      </c>
      <c r="G7" s="32">
        <v>0</v>
      </c>
      <c r="H7" s="8" t="s">
        <v>721</v>
      </c>
      <c r="I7" s="12">
        <v>900023386</v>
      </c>
      <c r="J7" s="13" t="s">
        <v>722</v>
      </c>
      <c r="K7" s="14">
        <v>28</v>
      </c>
      <c r="L7" s="15" t="s">
        <v>251</v>
      </c>
      <c r="M7" s="16">
        <v>285000</v>
      </c>
      <c r="N7" s="16">
        <v>0</v>
      </c>
      <c r="O7" s="16">
        <f t="shared" si="1"/>
        <v>7980000</v>
      </c>
      <c r="P7" s="14" t="s">
        <v>196</v>
      </c>
    </row>
    <row r="8" spans="1:16" x14ac:dyDescent="0.3">
      <c r="A8" s="8" t="s">
        <v>885</v>
      </c>
      <c r="B8" s="9" t="s">
        <v>895</v>
      </c>
      <c r="C8" s="17" t="s">
        <v>896</v>
      </c>
      <c r="D8" s="11">
        <v>44005</v>
      </c>
      <c r="E8" s="11">
        <v>44005</v>
      </c>
      <c r="F8" s="31">
        <v>7000000</v>
      </c>
      <c r="G8" s="32">
        <v>0</v>
      </c>
      <c r="H8" s="8" t="s">
        <v>897</v>
      </c>
      <c r="I8" s="12">
        <v>800165853</v>
      </c>
      <c r="J8" s="13" t="s">
        <v>196</v>
      </c>
      <c r="K8" s="14">
        <v>80</v>
      </c>
      <c r="L8" s="15" t="s">
        <v>250</v>
      </c>
      <c r="M8" s="16">
        <v>40500</v>
      </c>
      <c r="N8" s="16">
        <v>0</v>
      </c>
      <c r="O8" s="16">
        <f t="shared" si="1"/>
        <v>3240000</v>
      </c>
      <c r="P8" s="19" t="s">
        <v>196</v>
      </c>
    </row>
    <row r="9" spans="1:16" x14ac:dyDescent="0.3">
      <c r="A9" s="8" t="s">
        <v>976</v>
      </c>
      <c r="B9" s="9" t="s">
        <v>996</v>
      </c>
      <c r="C9" s="10" t="s">
        <v>997</v>
      </c>
      <c r="D9" s="11">
        <v>43979</v>
      </c>
      <c r="E9" s="11">
        <v>43980</v>
      </c>
      <c r="F9" s="31">
        <v>12842000</v>
      </c>
      <c r="G9" s="32">
        <v>0</v>
      </c>
      <c r="H9" s="8" t="s">
        <v>998</v>
      </c>
      <c r="I9" s="12">
        <v>900151140</v>
      </c>
      <c r="J9" s="13" t="s">
        <v>999</v>
      </c>
      <c r="K9" s="14">
        <v>23</v>
      </c>
      <c r="L9" s="15" t="s">
        <v>251</v>
      </c>
      <c r="M9" s="16">
        <v>325000</v>
      </c>
      <c r="N9" s="16">
        <v>0</v>
      </c>
      <c r="O9" s="16">
        <f t="shared" si="1"/>
        <v>7475000</v>
      </c>
      <c r="P9" s="14" t="s">
        <v>196</v>
      </c>
    </row>
    <row r="10" spans="1:16" x14ac:dyDescent="0.3">
      <c r="A10" s="8" t="s">
        <v>976</v>
      </c>
      <c r="B10" s="9" t="s">
        <v>996</v>
      </c>
      <c r="C10" s="10" t="s">
        <v>997</v>
      </c>
      <c r="D10" s="11">
        <v>43979</v>
      </c>
      <c r="E10" s="11">
        <v>43980</v>
      </c>
      <c r="F10" s="31">
        <v>12842000</v>
      </c>
      <c r="G10" s="32">
        <v>0</v>
      </c>
      <c r="H10" s="8" t="s">
        <v>998</v>
      </c>
      <c r="I10" s="12">
        <v>900151140</v>
      </c>
      <c r="J10" s="13" t="s">
        <v>1000</v>
      </c>
      <c r="K10" s="14">
        <v>6</v>
      </c>
      <c r="L10" s="15" t="s">
        <v>251</v>
      </c>
      <c r="M10" s="16">
        <v>532000</v>
      </c>
      <c r="N10" s="16">
        <v>0</v>
      </c>
      <c r="O10" s="16">
        <f t="shared" si="1"/>
        <v>3192000</v>
      </c>
      <c r="P10" s="14" t="s">
        <v>196</v>
      </c>
    </row>
  </sheetData>
  <dataValidations count="13">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4 B9:B1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4 A9:A10">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4 E8:E1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4 D9:D1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5 H9:H1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3:I4 I10">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9:F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I5 I9">
      <formula1>-999999999</formula1>
      <formula2>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D5:E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9:G10">
      <formula1>-9223372036854770000</formula1>
      <formula2>9223372036854770000</formula2>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J1" workbookViewId="0">
      <selection activeCell="O1" sqref="O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1289</v>
      </c>
      <c r="B2" s="9" t="s">
        <v>119</v>
      </c>
      <c r="C2" s="17" t="s">
        <v>1314</v>
      </c>
      <c r="D2" s="11">
        <v>43984</v>
      </c>
      <c r="E2" s="11">
        <v>43984</v>
      </c>
      <c r="F2" s="31">
        <v>12960000</v>
      </c>
      <c r="G2" s="32">
        <v>0</v>
      </c>
      <c r="H2" s="8" t="s">
        <v>1315</v>
      </c>
      <c r="I2" s="12">
        <v>900616935</v>
      </c>
      <c r="J2" s="13" t="s">
        <v>1316</v>
      </c>
      <c r="K2" s="14">
        <v>12</v>
      </c>
      <c r="L2" s="18" t="s">
        <v>250</v>
      </c>
      <c r="M2" s="16">
        <v>330000</v>
      </c>
      <c r="N2" s="16">
        <v>0</v>
      </c>
      <c r="O2" s="16">
        <f t="shared" ref="O2" si="0">K2*(M2+N2)</f>
        <v>3960000</v>
      </c>
      <c r="P2" s="14" t="s">
        <v>136</v>
      </c>
    </row>
    <row r="3" spans="1:16" x14ac:dyDescent="0.3">
      <c r="A3" s="8" t="s">
        <v>86</v>
      </c>
      <c r="B3" s="9" t="s">
        <v>132</v>
      </c>
      <c r="C3" s="10" t="s">
        <v>133</v>
      </c>
      <c r="D3" s="11">
        <v>44009</v>
      </c>
      <c r="E3" s="11">
        <v>44013</v>
      </c>
      <c r="F3" s="31">
        <v>11940000</v>
      </c>
      <c r="G3" s="32">
        <v>0</v>
      </c>
      <c r="H3" s="8" t="s">
        <v>134</v>
      </c>
      <c r="I3" s="12">
        <v>900934702</v>
      </c>
      <c r="J3" s="13" t="s">
        <v>135</v>
      </c>
      <c r="K3" s="14">
        <v>60</v>
      </c>
      <c r="L3" s="15" t="s">
        <v>250</v>
      </c>
      <c r="M3" s="16">
        <v>199000</v>
      </c>
      <c r="N3" s="16"/>
      <c r="O3" s="16">
        <f t="shared" ref="O3:O5" si="1">K3*(M3+N3)</f>
        <v>11940000</v>
      </c>
      <c r="P3" s="14" t="s">
        <v>136</v>
      </c>
    </row>
    <row r="4" spans="1:16" x14ac:dyDescent="0.3">
      <c r="A4" s="8" t="s">
        <v>153</v>
      </c>
      <c r="B4" s="9" t="s">
        <v>174</v>
      </c>
      <c r="C4" s="10" t="s">
        <v>175</v>
      </c>
      <c r="D4" s="11">
        <v>43958</v>
      </c>
      <c r="E4" s="11">
        <v>43958</v>
      </c>
      <c r="F4" s="31">
        <v>17825000</v>
      </c>
      <c r="G4" s="32">
        <v>0</v>
      </c>
      <c r="H4" s="8" t="s">
        <v>176</v>
      </c>
      <c r="I4" s="12">
        <v>900017447</v>
      </c>
      <c r="J4" s="13" t="s">
        <v>177</v>
      </c>
      <c r="K4" s="14">
        <v>31</v>
      </c>
      <c r="L4" s="15" t="s">
        <v>250</v>
      </c>
      <c r="M4" s="16">
        <v>575000</v>
      </c>
      <c r="N4" s="16">
        <v>0</v>
      </c>
      <c r="O4" s="16">
        <f>K4*(M4+N4)</f>
        <v>17825000</v>
      </c>
      <c r="P4" s="14" t="s">
        <v>136</v>
      </c>
    </row>
    <row r="5" spans="1:16" x14ac:dyDescent="0.3">
      <c r="A5" s="8" t="s">
        <v>252</v>
      </c>
      <c r="B5" s="9" t="s">
        <v>266</v>
      </c>
      <c r="C5" s="10" t="s">
        <v>267</v>
      </c>
      <c r="D5" s="11">
        <v>43958</v>
      </c>
      <c r="E5" s="11">
        <v>43958</v>
      </c>
      <c r="F5" s="31">
        <v>11615000</v>
      </c>
      <c r="G5" s="32">
        <v>0</v>
      </c>
      <c r="H5" s="8" t="s">
        <v>268</v>
      </c>
      <c r="I5" s="12">
        <v>900017447</v>
      </c>
      <c r="J5" s="13" t="s">
        <v>269</v>
      </c>
      <c r="K5" s="14">
        <v>20</v>
      </c>
      <c r="L5" s="15" t="s">
        <v>250</v>
      </c>
      <c r="M5" s="16">
        <v>580750</v>
      </c>
      <c r="N5" s="16">
        <v>0</v>
      </c>
      <c r="O5" s="16">
        <f t="shared" si="1"/>
        <v>11615000</v>
      </c>
      <c r="P5" s="14" t="s">
        <v>136</v>
      </c>
    </row>
    <row r="6" spans="1:16" x14ac:dyDescent="0.3">
      <c r="A6" s="8" t="s">
        <v>252</v>
      </c>
      <c r="B6" s="9" t="s">
        <v>307</v>
      </c>
      <c r="C6" s="10" t="s">
        <v>308</v>
      </c>
      <c r="D6" s="11">
        <v>44018</v>
      </c>
      <c r="E6" s="11">
        <v>44020</v>
      </c>
      <c r="F6" s="31">
        <v>13711200</v>
      </c>
      <c r="G6" s="32">
        <v>0</v>
      </c>
      <c r="H6" s="8" t="s">
        <v>309</v>
      </c>
      <c r="I6" s="12">
        <v>830501019</v>
      </c>
      <c r="J6" s="13" t="s">
        <v>311</v>
      </c>
      <c r="K6" s="14">
        <v>50</v>
      </c>
      <c r="L6" s="15" t="s">
        <v>250</v>
      </c>
      <c r="M6" s="16">
        <v>120000</v>
      </c>
      <c r="N6" s="16">
        <v>0</v>
      </c>
      <c r="O6" s="16">
        <f>K6*(M6+N6)</f>
        <v>6000000</v>
      </c>
      <c r="P6" s="14" t="s">
        <v>136</v>
      </c>
    </row>
    <row r="7" spans="1:16" x14ac:dyDescent="0.3">
      <c r="A7" s="8" t="s">
        <v>320</v>
      </c>
      <c r="B7" s="9" t="s">
        <v>331</v>
      </c>
      <c r="C7" s="10" t="s">
        <v>332</v>
      </c>
      <c r="D7" s="11">
        <v>43966</v>
      </c>
      <c r="E7" s="11">
        <v>43969</v>
      </c>
      <c r="F7" s="31">
        <v>27782000</v>
      </c>
      <c r="G7" s="32">
        <v>0</v>
      </c>
      <c r="H7" s="8" t="s">
        <v>333</v>
      </c>
      <c r="I7" s="12">
        <v>900881350</v>
      </c>
      <c r="J7" s="13" t="s">
        <v>334</v>
      </c>
      <c r="K7" s="14">
        <v>11</v>
      </c>
      <c r="L7" s="15" t="s">
        <v>250</v>
      </c>
      <c r="M7" s="16">
        <v>430000</v>
      </c>
      <c r="N7" s="16"/>
      <c r="O7" s="16">
        <f>K7*(M7+N7)</f>
        <v>4730000</v>
      </c>
      <c r="P7" s="14" t="s">
        <v>136</v>
      </c>
    </row>
    <row r="8" spans="1:16" x14ac:dyDescent="0.3">
      <c r="A8" s="8" t="s">
        <v>1322</v>
      </c>
      <c r="B8" s="9" t="s">
        <v>1330</v>
      </c>
      <c r="C8" s="17" t="s">
        <v>1331</v>
      </c>
      <c r="D8" s="11">
        <v>43945</v>
      </c>
      <c r="E8" s="11">
        <v>43945</v>
      </c>
      <c r="F8" s="31">
        <v>37196160</v>
      </c>
      <c r="G8" s="32">
        <v>0</v>
      </c>
      <c r="H8" s="8" t="s">
        <v>200</v>
      </c>
      <c r="I8" s="12">
        <v>800037946</v>
      </c>
      <c r="J8" s="13" t="s">
        <v>1333</v>
      </c>
      <c r="K8" s="14">
        <v>18</v>
      </c>
      <c r="L8" s="15" t="s">
        <v>250</v>
      </c>
      <c r="M8" s="16">
        <v>631600</v>
      </c>
      <c r="N8" s="16">
        <v>0</v>
      </c>
      <c r="O8" s="16">
        <f t="shared" ref="O8:O10" si="2">K8*(M8+N8)</f>
        <v>11368800</v>
      </c>
      <c r="P8" s="14" t="s">
        <v>136</v>
      </c>
    </row>
    <row r="9" spans="1:16" x14ac:dyDescent="0.3">
      <c r="A9" s="8" t="s">
        <v>1322</v>
      </c>
      <c r="B9" s="9" t="s">
        <v>1339</v>
      </c>
      <c r="C9" s="17" t="s">
        <v>1340</v>
      </c>
      <c r="D9" s="11">
        <v>43973</v>
      </c>
      <c r="E9" s="11">
        <v>43977</v>
      </c>
      <c r="F9" s="31">
        <v>13770000</v>
      </c>
      <c r="G9" s="32">
        <v>0</v>
      </c>
      <c r="H9" s="8" t="s">
        <v>1341</v>
      </c>
      <c r="I9" s="12">
        <v>900745087</v>
      </c>
      <c r="J9" s="13" t="s">
        <v>1342</v>
      </c>
      <c r="K9" s="14">
        <v>51</v>
      </c>
      <c r="L9" s="15" t="s">
        <v>250</v>
      </c>
      <c r="M9" s="16">
        <v>270000</v>
      </c>
      <c r="N9" s="16">
        <v>0</v>
      </c>
      <c r="O9" s="16">
        <f t="shared" si="2"/>
        <v>13770000</v>
      </c>
      <c r="P9" s="14" t="s">
        <v>136</v>
      </c>
    </row>
    <row r="10" spans="1:16" x14ac:dyDescent="0.3">
      <c r="A10" s="8" t="s">
        <v>387</v>
      </c>
      <c r="B10" s="9" t="s">
        <v>392</v>
      </c>
      <c r="C10" s="10" t="s">
        <v>393</v>
      </c>
      <c r="D10" s="11">
        <v>43963</v>
      </c>
      <c r="E10" s="11">
        <v>43963</v>
      </c>
      <c r="F10" s="31">
        <v>166018725</v>
      </c>
      <c r="G10" s="32">
        <v>0</v>
      </c>
      <c r="H10" s="8" t="s">
        <v>390</v>
      </c>
      <c r="I10" s="12">
        <v>813005241</v>
      </c>
      <c r="J10" s="13" t="s">
        <v>395</v>
      </c>
      <c r="K10" s="14">
        <v>15</v>
      </c>
      <c r="L10" s="15" t="s">
        <v>250</v>
      </c>
      <c r="M10" s="16">
        <v>380000</v>
      </c>
      <c r="N10" s="16">
        <v>0</v>
      </c>
      <c r="O10" s="16">
        <f t="shared" si="2"/>
        <v>5700000</v>
      </c>
      <c r="P10" s="14" t="s">
        <v>136</v>
      </c>
    </row>
    <row r="11" spans="1:16" x14ac:dyDescent="0.3">
      <c r="A11" s="8" t="s">
        <v>407</v>
      </c>
      <c r="B11" s="9" t="s">
        <v>478</v>
      </c>
      <c r="C11" s="10" t="s">
        <v>480</v>
      </c>
      <c r="D11" s="11">
        <v>44012</v>
      </c>
      <c r="E11" s="11">
        <v>44012</v>
      </c>
      <c r="F11" s="31">
        <v>780000</v>
      </c>
      <c r="G11" s="32">
        <v>0</v>
      </c>
      <c r="H11" s="8" t="s">
        <v>479</v>
      </c>
      <c r="I11" s="12">
        <v>900724561</v>
      </c>
      <c r="J11" s="13" t="s">
        <v>480</v>
      </c>
      <c r="K11" s="14">
        <v>6</v>
      </c>
      <c r="L11" s="15" t="s">
        <v>250</v>
      </c>
      <c r="M11" s="16">
        <v>130000</v>
      </c>
      <c r="N11" s="16">
        <v>0</v>
      </c>
      <c r="O11" s="16">
        <f t="shared" ref="O11:O13" si="3">K11*(M11+N11)</f>
        <v>780000</v>
      </c>
      <c r="P11" s="14" t="s">
        <v>136</v>
      </c>
    </row>
    <row r="12" spans="1:16" x14ac:dyDescent="0.3">
      <c r="A12" s="8" t="s">
        <v>490</v>
      </c>
      <c r="B12" s="9" t="s">
        <v>499</v>
      </c>
      <c r="C12" s="10" t="s">
        <v>500</v>
      </c>
      <c r="D12" s="11">
        <v>43958</v>
      </c>
      <c r="E12" s="11">
        <v>43962</v>
      </c>
      <c r="F12" s="31">
        <v>0</v>
      </c>
      <c r="G12" s="32">
        <v>11965845</v>
      </c>
      <c r="H12" s="8" t="s">
        <v>501</v>
      </c>
      <c r="I12" s="12">
        <v>800147520</v>
      </c>
      <c r="J12" s="13" t="s">
        <v>502</v>
      </c>
      <c r="K12" s="14">
        <v>38</v>
      </c>
      <c r="L12" s="15" t="s">
        <v>250</v>
      </c>
      <c r="M12" s="16">
        <v>300000</v>
      </c>
      <c r="N12" s="16">
        <v>0</v>
      </c>
      <c r="O12" s="16">
        <f t="shared" si="3"/>
        <v>11400000</v>
      </c>
      <c r="P12" s="14" t="s">
        <v>136</v>
      </c>
    </row>
    <row r="13" spans="1:16" x14ac:dyDescent="0.3">
      <c r="A13" s="8" t="s">
        <v>490</v>
      </c>
      <c r="B13" s="9" t="s">
        <v>499</v>
      </c>
      <c r="C13" s="10" t="s">
        <v>500</v>
      </c>
      <c r="D13" s="11">
        <v>43958</v>
      </c>
      <c r="E13" s="11">
        <v>43962</v>
      </c>
      <c r="F13" s="31">
        <v>3898952</v>
      </c>
      <c r="G13" s="32">
        <v>0</v>
      </c>
      <c r="H13" s="8" t="s">
        <v>501</v>
      </c>
      <c r="I13" s="12">
        <v>800147520</v>
      </c>
      <c r="J13" s="13" t="s">
        <v>535</v>
      </c>
      <c r="K13" s="14">
        <v>12</v>
      </c>
      <c r="L13" s="15" t="s">
        <v>250</v>
      </c>
      <c r="M13" s="16">
        <v>300000</v>
      </c>
      <c r="N13" s="16">
        <v>0</v>
      </c>
      <c r="O13" s="16">
        <f t="shared" si="3"/>
        <v>3600000</v>
      </c>
      <c r="P13" s="14" t="s">
        <v>136</v>
      </c>
    </row>
    <row r="14" spans="1:16" x14ac:dyDescent="0.3">
      <c r="A14" s="8" t="s">
        <v>544</v>
      </c>
      <c r="B14" s="9" t="s">
        <v>592</v>
      </c>
      <c r="C14" s="10" t="s">
        <v>593</v>
      </c>
      <c r="D14" s="11">
        <v>43986</v>
      </c>
      <c r="E14" s="11">
        <v>43986</v>
      </c>
      <c r="F14" s="31">
        <v>39927000</v>
      </c>
      <c r="G14" s="32">
        <v>0</v>
      </c>
      <c r="H14" s="8" t="s">
        <v>594</v>
      </c>
      <c r="I14" s="12">
        <v>901031972</v>
      </c>
      <c r="J14" s="13" t="s">
        <v>598</v>
      </c>
      <c r="K14" s="14">
        <v>30</v>
      </c>
      <c r="L14" s="15" t="s">
        <v>250</v>
      </c>
      <c r="M14" s="16">
        <v>385000</v>
      </c>
      <c r="N14" s="16">
        <v>0</v>
      </c>
      <c r="O14" s="16">
        <f>M14*K14</f>
        <v>11550000</v>
      </c>
      <c r="P14" s="14" t="s">
        <v>136</v>
      </c>
    </row>
    <row r="15" spans="1:16" x14ac:dyDescent="0.3">
      <c r="A15" s="8" t="s">
        <v>623</v>
      </c>
      <c r="B15" s="9" t="s">
        <v>644</v>
      </c>
      <c r="C15" s="10" t="s">
        <v>645</v>
      </c>
      <c r="D15" s="11">
        <v>43971</v>
      </c>
      <c r="E15" s="11">
        <v>43978</v>
      </c>
      <c r="F15" s="31">
        <v>38340000</v>
      </c>
      <c r="G15" s="32">
        <v>0</v>
      </c>
      <c r="H15" s="8" t="s">
        <v>626</v>
      </c>
      <c r="I15" s="12">
        <v>813005241</v>
      </c>
      <c r="J15" s="13" t="s">
        <v>649</v>
      </c>
      <c r="K15" s="14">
        <v>8</v>
      </c>
      <c r="L15" s="15" t="s">
        <v>250</v>
      </c>
      <c r="M15" s="16">
        <v>360000</v>
      </c>
      <c r="N15" s="16">
        <v>0</v>
      </c>
      <c r="O15" s="16">
        <f t="shared" ref="O15:O27" si="4">K15*(M15+N15)</f>
        <v>2880000</v>
      </c>
      <c r="P15" s="14" t="s">
        <v>136</v>
      </c>
    </row>
    <row r="16" spans="1:16" x14ac:dyDescent="0.3">
      <c r="A16" s="8" t="s">
        <v>623</v>
      </c>
      <c r="B16" s="9" t="s">
        <v>644</v>
      </c>
      <c r="C16" s="10" t="s">
        <v>645</v>
      </c>
      <c r="D16" s="11">
        <v>43971</v>
      </c>
      <c r="E16" s="11">
        <v>43978</v>
      </c>
      <c r="F16" s="31">
        <v>38340000</v>
      </c>
      <c r="G16" s="32">
        <v>0</v>
      </c>
      <c r="H16" s="8" t="s">
        <v>626</v>
      </c>
      <c r="I16" s="12">
        <v>813005241</v>
      </c>
      <c r="J16" s="13" t="s">
        <v>650</v>
      </c>
      <c r="K16" s="14">
        <v>7</v>
      </c>
      <c r="L16" s="15" t="s">
        <v>250</v>
      </c>
      <c r="M16" s="16">
        <v>1300000</v>
      </c>
      <c r="N16" s="16">
        <v>0</v>
      </c>
      <c r="O16" s="16">
        <f t="shared" si="4"/>
        <v>9100000</v>
      </c>
      <c r="P16" s="14" t="s">
        <v>136</v>
      </c>
    </row>
    <row r="17" spans="1:16" x14ac:dyDescent="0.3">
      <c r="A17" s="8" t="s">
        <v>623</v>
      </c>
      <c r="B17" s="9" t="s">
        <v>685</v>
      </c>
      <c r="C17" s="10" t="s">
        <v>686</v>
      </c>
      <c r="D17" s="11">
        <v>43991</v>
      </c>
      <c r="E17" s="11">
        <v>43998</v>
      </c>
      <c r="F17" s="31">
        <v>15750000</v>
      </c>
      <c r="G17" s="32">
        <v>0</v>
      </c>
      <c r="H17" s="8" t="s">
        <v>687</v>
      </c>
      <c r="I17" s="12">
        <v>800213675</v>
      </c>
      <c r="J17" s="13" t="s">
        <v>688</v>
      </c>
      <c r="K17" s="14">
        <v>50</v>
      </c>
      <c r="L17" s="15" t="s">
        <v>250</v>
      </c>
      <c r="M17" s="16">
        <v>315000</v>
      </c>
      <c r="N17" s="16">
        <v>0</v>
      </c>
      <c r="O17" s="16">
        <f t="shared" si="4"/>
        <v>15750000</v>
      </c>
      <c r="P17" s="14" t="s">
        <v>136</v>
      </c>
    </row>
    <row r="18" spans="1:16" x14ac:dyDescent="0.3">
      <c r="A18" s="8" t="s">
        <v>693</v>
      </c>
      <c r="B18" s="9" t="s">
        <v>714</v>
      </c>
      <c r="C18" s="10" t="s">
        <v>712</v>
      </c>
      <c r="D18" s="11">
        <v>43985</v>
      </c>
      <c r="E18" s="11">
        <v>43986</v>
      </c>
      <c r="F18" s="31">
        <v>44570660</v>
      </c>
      <c r="G18" s="32">
        <v>0</v>
      </c>
      <c r="H18" s="8" t="s">
        <v>715</v>
      </c>
      <c r="I18" s="12">
        <v>900155107</v>
      </c>
      <c r="J18" s="13" t="s">
        <v>718</v>
      </c>
      <c r="K18" s="14">
        <v>18</v>
      </c>
      <c r="L18" s="15" t="s">
        <v>250</v>
      </c>
      <c r="M18" s="16">
        <v>312500</v>
      </c>
      <c r="N18" s="16">
        <v>0</v>
      </c>
      <c r="O18" s="16">
        <f t="shared" si="4"/>
        <v>5625000</v>
      </c>
      <c r="P18" s="14" t="s">
        <v>136</v>
      </c>
    </row>
    <row r="19" spans="1:16" x14ac:dyDescent="0.3">
      <c r="A19" s="8" t="s">
        <v>728</v>
      </c>
      <c r="B19" s="9" t="s">
        <v>750</v>
      </c>
      <c r="C19" s="10" t="s">
        <v>751</v>
      </c>
      <c r="D19" s="11">
        <v>43951</v>
      </c>
      <c r="E19" s="11">
        <v>43951</v>
      </c>
      <c r="F19" s="31">
        <v>634758</v>
      </c>
      <c r="G19" s="32">
        <v>0</v>
      </c>
      <c r="H19" s="8" t="s">
        <v>200</v>
      </c>
      <c r="I19" s="12">
        <v>830037946</v>
      </c>
      <c r="J19" s="13" t="s">
        <v>752</v>
      </c>
      <c r="K19" s="14">
        <v>1</v>
      </c>
      <c r="L19" s="15" t="s">
        <v>250</v>
      </c>
      <c r="M19" s="16">
        <v>631600</v>
      </c>
      <c r="N19" s="16">
        <v>3158</v>
      </c>
      <c r="O19" s="16">
        <f t="shared" si="4"/>
        <v>634758</v>
      </c>
      <c r="P19" s="14" t="s">
        <v>136</v>
      </c>
    </row>
    <row r="20" spans="1:16" x14ac:dyDescent="0.3">
      <c r="A20" s="8" t="s">
        <v>728</v>
      </c>
      <c r="B20" s="9" t="s">
        <v>753</v>
      </c>
      <c r="C20" s="10" t="s">
        <v>751</v>
      </c>
      <c r="D20" s="11">
        <v>43951</v>
      </c>
      <c r="E20" s="11">
        <v>43951</v>
      </c>
      <c r="F20" s="31">
        <v>3808548</v>
      </c>
      <c r="G20" s="32">
        <v>0</v>
      </c>
      <c r="H20" s="8" t="s">
        <v>200</v>
      </c>
      <c r="I20" s="12">
        <v>830037946</v>
      </c>
      <c r="J20" s="13" t="s">
        <v>754</v>
      </c>
      <c r="K20" s="14">
        <v>6</v>
      </c>
      <c r="L20" s="15" t="s">
        <v>250</v>
      </c>
      <c r="M20" s="16">
        <v>631600</v>
      </c>
      <c r="N20" s="16">
        <v>3158</v>
      </c>
      <c r="O20" s="16">
        <f t="shared" si="4"/>
        <v>3808548</v>
      </c>
      <c r="P20" s="14" t="s">
        <v>136</v>
      </c>
    </row>
    <row r="21" spans="1:16" x14ac:dyDescent="0.3">
      <c r="A21" s="8" t="s">
        <v>728</v>
      </c>
      <c r="B21" s="9" t="s">
        <v>765</v>
      </c>
      <c r="C21" s="10" t="s">
        <v>766</v>
      </c>
      <c r="D21" s="11">
        <v>43979</v>
      </c>
      <c r="E21" s="11">
        <v>43979</v>
      </c>
      <c r="F21" s="31">
        <v>10854000</v>
      </c>
      <c r="G21" s="32">
        <v>0</v>
      </c>
      <c r="H21" s="8" t="s">
        <v>200</v>
      </c>
      <c r="I21" s="12">
        <v>830037946</v>
      </c>
      <c r="J21" s="13" t="s">
        <v>767</v>
      </c>
      <c r="K21" s="14">
        <v>18</v>
      </c>
      <c r="L21" s="15" t="s">
        <v>250</v>
      </c>
      <c r="M21" s="16">
        <v>600000</v>
      </c>
      <c r="N21" s="16">
        <v>3000</v>
      </c>
      <c r="O21" s="16">
        <f t="shared" si="4"/>
        <v>10854000</v>
      </c>
      <c r="P21" s="14" t="s">
        <v>136</v>
      </c>
    </row>
    <row r="22" spans="1:16" x14ac:dyDescent="0.3">
      <c r="A22" s="8" t="s">
        <v>885</v>
      </c>
      <c r="B22" s="9">
        <v>49355</v>
      </c>
      <c r="C22" s="17" t="s">
        <v>953</v>
      </c>
      <c r="D22" s="11">
        <v>43979</v>
      </c>
      <c r="E22" s="11">
        <v>43979</v>
      </c>
      <c r="F22" s="31">
        <v>11500000</v>
      </c>
      <c r="G22" s="32">
        <v>0</v>
      </c>
      <c r="H22" s="8" t="s">
        <v>176</v>
      </c>
      <c r="I22" s="12">
        <v>900017447</v>
      </c>
      <c r="J22" s="13" t="s">
        <v>395</v>
      </c>
      <c r="K22" s="14">
        <v>20</v>
      </c>
      <c r="L22" s="15" t="s">
        <v>250</v>
      </c>
      <c r="M22" s="16">
        <v>575000</v>
      </c>
      <c r="N22" s="16">
        <v>0</v>
      </c>
      <c r="O22" s="16">
        <f t="shared" si="4"/>
        <v>11500000</v>
      </c>
      <c r="P22" s="14" t="s">
        <v>136</v>
      </c>
    </row>
    <row r="23" spans="1:16" x14ac:dyDescent="0.3">
      <c r="A23" s="8" t="s">
        <v>959</v>
      </c>
      <c r="B23" s="9">
        <v>35</v>
      </c>
      <c r="C23" s="10" t="s">
        <v>960</v>
      </c>
      <c r="D23" s="11">
        <v>43477</v>
      </c>
      <c r="E23" s="11">
        <v>43800</v>
      </c>
      <c r="F23" s="31">
        <v>0</v>
      </c>
      <c r="G23" s="32">
        <v>67434392</v>
      </c>
      <c r="H23" s="8" t="s">
        <v>961</v>
      </c>
      <c r="I23" s="12">
        <v>811044253</v>
      </c>
      <c r="J23" s="13" t="s">
        <v>311</v>
      </c>
      <c r="K23" s="14">
        <v>15</v>
      </c>
      <c r="L23" s="15" t="s">
        <v>250</v>
      </c>
      <c r="M23" s="16">
        <v>447058</v>
      </c>
      <c r="N23" s="16">
        <v>0</v>
      </c>
      <c r="O23" s="16">
        <f t="shared" si="4"/>
        <v>6705870</v>
      </c>
      <c r="P23" s="14" t="s">
        <v>136</v>
      </c>
    </row>
    <row r="24" spans="1:16" x14ac:dyDescent="0.3">
      <c r="A24" s="8" t="s">
        <v>976</v>
      </c>
      <c r="B24" s="9" t="s">
        <v>1041</v>
      </c>
      <c r="C24" s="10" t="s">
        <v>1042</v>
      </c>
      <c r="D24" s="11">
        <v>43992</v>
      </c>
      <c r="E24" s="11">
        <v>43992</v>
      </c>
      <c r="F24" s="31">
        <v>9148936.2300000004</v>
      </c>
      <c r="G24" s="32">
        <v>0</v>
      </c>
      <c r="H24" s="8" t="s">
        <v>1043</v>
      </c>
      <c r="I24" s="12">
        <v>900257066</v>
      </c>
      <c r="J24" s="13" t="s">
        <v>1044</v>
      </c>
      <c r="K24" s="14">
        <v>25</v>
      </c>
      <c r="L24" s="15" t="s">
        <v>250</v>
      </c>
      <c r="M24" s="16">
        <v>361702.13</v>
      </c>
      <c r="N24" s="16">
        <v>0</v>
      </c>
      <c r="O24" s="16">
        <f t="shared" si="4"/>
        <v>9042553.25</v>
      </c>
      <c r="P24" s="14" t="s">
        <v>136</v>
      </c>
    </row>
    <row r="25" spans="1:16" x14ac:dyDescent="0.3">
      <c r="A25" s="8" t="s">
        <v>1055</v>
      </c>
      <c r="B25" s="9" t="s">
        <v>1074</v>
      </c>
      <c r="C25" s="10" t="s">
        <v>1075</v>
      </c>
      <c r="D25" s="11">
        <v>43972</v>
      </c>
      <c r="E25" s="11">
        <v>43972</v>
      </c>
      <c r="F25" s="31">
        <v>9028390</v>
      </c>
      <c r="G25" s="32">
        <v>0</v>
      </c>
      <c r="H25" s="8" t="s">
        <v>1076</v>
      </c>
      <c r="I25" s="12">
        <v>900676378</v>
      </c>
      <c r="J25" s="13" t="s">
        <v>1077</v>
      </c>
      <c r="K25" s="14">
        <v>14</v>
      </c>
      <c r="L25" s="15" t="s">
        <v>250</v>
      </c>
      <c r="M25" s="16">
        <v>583600</v>
      </c>
      <c r="N25" s="16">
        <v>0</v>
      </c>
      <c r="O25" s="16">
        <f t="shared" si="4"/>
        <v>8170400</v>
      </c>
      <c r="P25" s="14" t="s">
        <v>136</v>
      </c>
    </row>
    <row r="26" spans="1:16" x14ac:dyDescent="0.3">
      <c r="A26" s="8" t="s">
        <v>1115</v>
      </c>
      <c r="B26" s="9">
        <v>5</v>
      </c>
      <c r="C26" s="10" t="s">
        <v>1145</v>
      </c>
      <c r="D26" s="11">
        <v>43969</v>
      </c>
      <c r="E26" s="11">
        <v>43971</v>
      </c>
      <c r="F26" s="31">
        <v>20065000</v>
      </c>
      <c r="G26" s="32">
        <v>0</v>
      </c>
      <c r="H26" s="8" t="s">
        <v>1146</v>
      </c>
      <c r="I26" s="12">
        <v>77188846</v>
      </c>
      <c r="J26" s="13" t="s">
        <v>1147</v>
      </c>
      <c r="K26" s="14">
        <v>50</v>
      </c>
      <c r="L26" s="18" t="s">
        <v>250</v>
      </c>
      <c r="M26" s="16">
        <v>350000</v>
      </c>
      <c r="N26" s="16">
        <v>0</v>
      </c>
      <c r="O26" s="16">
        <f t="shared" si="4"/>
        <v>17500000</v>
      </c>
      <c r="P26" s="14" t="s">
        <v>136</v>
      </c>
    </row>
    <row r="27" spans="1:16" x14ac:dyDescent="0.3">
      <c r="A27" s="8" t="s">
        <v>1161</v>
      </c>
      <c r="B27" s="9" t="s">
        <v>1194</v>
      </c>
      <c r="C27" s="10" t="s">
        <v>1192</v>
      </c>
      <c r="D27" s="11">
        <v>43986</v>
      </c>
      <c r="E27" s="11">
        <v>43986</v>
      </c>
      <c r="F27" s="31">
        <v>3900000</v>
      </c>
      <c r="G27" s="32">
        <v>0</v>
      </c>
      <c r="H27" s="8" t="s">
        <v>1195</v>
      </c>
      <c r="I27" s="12">
        <v>890935513</v>
      </c>
      <c r="J27" s="13" t="s">
        <v>1196</v>
      </c>
      <c r="K27" s="14">
        <v>15</v>
      </c>
      <c r="L27" s="15" t="s">
        <v>250</v>
      </c>
      <c r="M27" s="16">
        <v>260000</v>
      </c>
      <c r="N27" s="16">
        <v>0</v>
      </c>
      <c r="O27" s="16">
        <f t="shared" si="4"/>
        <v>3900000</v>
      </c>
      <c r="P27" s="14" t="s">
        <v>136</v>
      </c>
    </row>
  </sheetData>
  <dataValidations count="1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2 D2:I2 E3:E9 E11:E12 E15:E16 E23:E24 D26:I26 A26:B26 E27">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I9 I11 I13 I15:I16 I23 I2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14 A23:A24 A2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F6 F8:F9 F11:F12 F15:F16 F23:F24 F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B6 B8:B9 B11:B12 B14:B16 B23:B24 B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H6 H8:H9 H11 H13:H16 H23 H2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 I6 I8 I14">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D6 D8:D9 D11:D12 D13:E13 D15:D16 D22:E22 D23:D24 D25:E25 D2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0 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4:E14 D17:E21">
      <formula1>1900/1/1</formula1>
      <formula2>3000/1/1</formula2>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J1" workbookViewId="0">
      <selection activeCell="O2" sqref="O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1289</v>
      </c>
      <c r="B2" s="9" t="s">
        <v>1290</v>
      </c>
      <c r="C2" s="17" t="s">
        <v>1291</v>
      </c>
      <c r="D2" s="11">
        <v>43908</v>
      </c>
      <c r="E2" s="11">
        <v>43908</v>
      </c>
      <c r="F2" s="31">
        <v>7176804</v>
      </c>
      <c r="G2" s="32">
        <v>0</v>
      </c>
      <c r="H2" s="8" t="s">
        <v>1292</v>
      </c>
      <c r="I2" s="12">
        <v>800031358</v>
      </c>
      <c r="J2" s="13" t="s">
        <v>1296</v>
      </c>
      <c r="K2" s="14">
        <v>703</v>
      </c>
      <c r="L2" s="18" t="s">
        <v>1277</v>
      </c>
      <c r="M2" s="16">
        <v>4133</v>
      </c>
      <c r="N2" s="16">
        <f t="shared" ref="N2" si="0">M2*0.19</f>
        <v>785.27</v>
      </c>
      <c r="O2" s="16">
        <f t="shared" ref="O2:O6" si="1">K2*(M2+N2)</f>
        <v>3457543.8100000005</v>
      </c>
      <c r="P2" s="19" t="s">
        <v>94</v>
      </c>
    </row>
    <row r="3" spans="1:16" x14ac:dyDescent="0.3">
      <c r="A3" s="8" t="s">
        <v>1289</v>
      </c>
      <c r="B3" s="9" t="s">
        <v>112</v>
      </c>
      <c r="C3" s="17" t="s">
        <v>1301</v>
      </c>
      <c r="D3" s="11">
        <v>43966</v>
      </c>
      <c r="E3" s="11">
        <v>43966</v>
      </c>
      <c r="F3" s="31">
        <v>10515900</v>
      </c>
      <c r="G3" s="32">
        <v>0</v>
      </c>
      <c r="H3" s="8" t="s">
        <v>1302</v>
      </c>
      <c r="I3" s="12">
        <v>830001338</v>
      </c>
      <c r="J3" s="13" t="s">
        <v>1303</v>
      </c>
      <c r="K3" s="14">
        <v>1000</v>
      </c>
      <c r="L3" s="18" t="s">
        <v>1277</v>
      </c>
      <c r="M3" s="16">
        <v>5373</v>
      </c>
      <c r="N3" s="16">
        <v>0</v>
      </c>
      <c r="O3" s="16">
        <f t="shared" si="1"/>
        <v>5373000</v>
      </c>
      <c r="P3" s="19" t="s">
        <v>94</v>
      </c>
    </row>
    <row r="4" spans="1:16" x14ac:dyDescent="0.3">
      <c r="A4" s="8" t="s">
        <v>86</v>
      </c>
      <c r="B4" s="9" t="s">
        <v>90</v>
      </c>
      <c r="C4" s="10" t="s">
        <v>91</v>
      </c>
      <c r="D4" s="11">
        <v>43916</v>
      </c>
      <c r="E4" s="11">
        <v>43920</v>
      </c>
      <c r="F4" s="31">
        <v>219927500</v>
      </c>
      <c r="G4" s="32">
        <v>0</v>
      </c>
      <c r="H4" s="8" t="s">
        <v>92</v>
      </c>
      <c r="I4" s="12">
        <v>900521780</v>
      </c>
      <c r="J4" s="13" t="s">
        <v>93</v>
      </c>
      <c r="K4" s="14">
        <v>2000</v>
      </c>
      <c r="L4" s="15" t="s">
        <v>1277</v>
      </c>
      <c r="M4" s="16">
        <v>6500</v>
      </c>
      <c r="N4" s="16">
        <v>0</v>
      </c>
      <c r="O4" s="16">
        <f t="shared" si="1"/>
        <v>13000000</v>
      </c>
      <c r="P4" s="14" t="s">
        <v>94</v>
      </c>
    </row>
    <row r="5" spans="1:16" x14ac:dyDescent="0.3">
      <c r="A5" s="8" t="s">
        <v>153</v>
      </c>
      <c r="B5" s="9" t="s">
        <v>169</v>
      </c>
      <c r="C5" s="10" t="s">
        <v>170</v>
      </c>
      <c r="D5" s="11">
        <v>43910</v>
      </c>
      <c r="E5" s="11">
        <v>43910</v>
      </c>
      <c r="F5" s="31">
        <v>33831700</v>
      </c>
      <c r="G5" s="32">
        <v>0</v>
      </c>
      <c r="H5" s="8" t="s">
        <v>171</v>
      </c>
      <c r="I5" s="12">
        <v>830037946</v>
      </c>
      <c r="J5" s="13" t="s">
        <v>173</v>
      </c>
      <c r="K5" s="14">
        <v>500</v>
      </c>
      <c r="L5" s="15" t="s">
        <v>1277</v>
      </c>
      <c r="M5" s="16">
        <v>6664</v>
      </c>
      <c r="N5" s="16">
        <v>0</v>
      </c>
      <c r="O5" s="16">
        <f t="shared" si="1"/>
        <v>3332000</v>
      </c>
      <c r="P5" s="14" t="s">
        <v>94</v>
      </c>
    </row>
    <row r="6" spans="1:16" x14ac:dyDescent="0.3">
      <c r="A6" s="8" t="s">
        <v>153</v>
      </c>
      <c r="B6" s="9" t="s">
        <v>225</v>
      </c>
      <c r="C6" s="10" t="s">
        <v>226</v>
      </c>
      <c r="D6" s="11">
        <v>43984</v>
      </c>
      <c r="E6" s="11">
        <v>43984</v>
      </c>
      <c r="F6" s="31">
        <v>9984000</v>
      </c>
      <c r="G6" s="32">
        <v>0</v>
      </c>
      <c r="H6" s="8" t="s">
        <v>227</v>
      </c>
      <c r="I6" s="12">
        <v>900704052</v>
      </c>
      <c r="J6" s="13" t="s">
        <v>1279</v>
      </c>
      <c r="K6" s="14">
        <v>2000</v>
      </c>
      <c r="L6" s="15" t="s">
        <v>1277</v>
      </c>
      <c r="M6" s="16">
        <v>4742</v>
      </c>
      <c r="N6" s="16">
        <v>0</v>
      </c>
      <c r="O6" s="16">
        <f t="shared" si="1"/>
        <v>9484000</v>
      </c>
      <c r="P6" s="14" t="s">
        <v>94</v>
      </c>
    </row>
    <row r="7" spans="1:16" x14ac:dyDescent="0.3">
      <c r="A7" s="8" t="s">
        <v>387</v>
      </c>
      <c r="B7" s="9" t="s">
        <v>392</v>
      </c>
      <c r="C7" s="10" t="s">
        <v>393</v>
      </c>
      <c r="D7" s="11">
        <v>43963</v>
      </c>
      <c r="E7" s="11">
        <v>43963</v>
      </c>
      <c r="F7" s="31">
        <v>166018725</v>
      </c>
      <c r="G7" s="32">
        <v>0</v>
      </c>
      <c r="H7" s="8" t="s">
        <v>390</v>
      </c>
      <c r="I7" s="12">
        <v>813005241</v>
      </c>
      <c r="J7" s="13" t="s">
        <v>1279</v>
      </c>
      <c r="K7" s="14">
        <v>491</v>
      </c>
      <c r="L7" s="15" t="s">
        <v>1277</v>
      </c>
      <c r="M7" s="16">
        <v>6975</v>
      </c>
      <c r="N7" s="16">
        <v>0</v>
      </c>
      <c r="O7" s="16">
        <f>K7*(M7+N7)</f>
        <v>3424725</v>
      </c>
      <c r="P7" s="14" t="s">
        <v>94</v>
      </c>
    </row>
    <row r="8" spans="1:16" x14ac:dyDescent="0.3">
      <c r="A8" s="8" t="s">
        <v>387</v>
      </c>
      <c r="B8" s="9" t="s">
        <v>397</v>
      </c>
      <c r="C8" s="10" t="s">
        <v>398</v>
      </c>
      <c r="D8" s="11">
        <v>44015</v>
      </c>
      <c r="E8" s="11">
        <v>44018</v>
      </c>
      <c r="F8" s="31">
        <v>201000100</v>
      </c>
      <c r="G8" s="32">
        <v>0</v>
      </c>
      <c r="H8" s="8" t="s">
        <v>390</v>
      </c>
      <c r="I8" s="12">
        <v>813005241</v>
      </c>
      <c r="J8" s="13" t="s">
        <v>1279</v>
      </c>
      <c r="K8" s="14">
        <v>975</v>
      </c>
      <c r="L8" s="15" t="s">
        <v>1277</v>
      </c>
      <c r="M8" s="16">
        <v>6300</v>
      </c>
      <c r="N8" s="16">
        <v>0</v>
      </c>
      <c r="O8" s="16">
        <f t="shared" ref="O8" si="2">K8*(M8+N8)</f>
        <v>6142500</v>
      </c>
      <c r="P8" s="14" t="s">
        <v>94</v>
      </c>
    </row>
    <row r="9" spans="1:16" x14ac:dyDescent="0.3">
      <c r="A9" s="8" t="s">
        <v>407</v>
      </c>
      <c r="B9" s="9" t="s">
        <v>466</v>
      </c>
      <c r="C9" s="10" t="s">
        <v>468</v>
      </c>
      <c r="D9" s="11">
        <v>43987</v>
      </c>
      <c r="E9" s="11">
        <v>43987</v>
      </c>
      <c r="F9" s="31">
        <v>3490500</v>
      </c>
      <c r="G9" s="32">
        <v>0</v>
      </c>
      <c r="H9" s="8" t="s">
        <v>467</v>
      </c>
      <c r="I9" s="12">
        <v>900791672</v>
      </c>
      <c r="J9" s="13" t="s">
        <v>468</v>
      </c>
      <c r="K9" s="14">
        <v>500</v>
      </c>
      <c r="L9" s="15" t="s">
        <v>1277</v>
      </c>
      <c r="M9" s="20">
        <v>4900</v>
      </c>
      <c r="N9" s="16">
        <f>M9*0.19</f>
        <v>931</v>
      </c>
      <c r="O9" s="16">
        <f t="shared" ref="O9:O22" si="3">K9*(M9+N9)</f>
        <v>2915500</v>
      </c>
      <c r="P9" s="14" t="s">
        <v>94</v>
      </c>
    </row>
    <row r="10" spans="1:16" x14ac:dyDescent="0.3">
      <c r="A10" s="8" t="s">
        <v>544</v>
      </c>
      <c r="B10" s="9" t="s">
        <v>545</v>
      </c>
      <c r="C10" s="10" t="s">
        <v>546</v>
      </c>
      <c r="D10" s="11" t="s">
        <v>547</v>
      </c>
      <c r="E10" s="11" t="s">
        <v>547</v>
      </c>
      <c r="F10" s="31">
        <v>21078782</v>
      </c>
      <c r="G10" s="32">
        <v>0</v>
      </c>
      <c r="H10" s="8" t="s">
        <v>548</v>
      </c>
      <c r="I10" s="12">
        <v>900406714</v>
      </c>
      <c r="J10" s="13" t="s">
        <v>557</v>
      </c>
      <c r="K10" s="14">
        <v>72</v>
      </c>
      <c r="L10" s="15" t="s">
        <v>1277</v>
      </c>
      <c r="M10" s="16">
        <v>5389</v>
      </c>
      <c r="N10" s="16">
        <f t="shared" ref="N10:N11" si="4">M10*0.19</f>
        <v>1023.91</v>
      </c>
      <c r="O10" s="16">
        <f t="shared" si="3"/>
        <v>461729.52</v>
      </c>
      <c r="P10" s="14" t="s">
        <v>94</v>
      </c>
    </row>
    <row r="11" spans="1:16" x14ac:dyDescent="0.3">
      <c r="A11" s="8" t="s">
        <v>623</v>
      </c>
      <c r="B11" s="9" t="s">
        <v>624</v>
      </c>
      <c r="C11" s="10" t="s">
        <v>625</v>
      </c>
      <c r="D11" s="11">
        <v>43909</v>
      </c>
      <c r="E11" s="11">
        <v>43915</v>
      </c>
      <c r="F11" s="31">
        <v>92450981</v>
      </c>
      <c r="G11" s="32">
        <v>0</v>
      </c>
      <c r="H11" s="8" t="s">
        <v>626</v>
      </c>
      <c r="I11" s="12">
        <v>813005241</v>
      </c>
      <c r="J11" s="13" t="s">
        <v>630</v>
      </c>
      <c r="K11" s="14">
        <v>1500</v>
      </c>
      <c r="L11" s="15" t="s">
        <v>1277</v>
      </c>
      <c r="M11" s="16">
        <v>6975</v>
      </c>
      <c r="N11" s="16">
        <f t="shared" si="4"/>
        <v>1325.25</v>
      </c>
      <c r="O11" s="16">
        <f t="shared" si="3"/>
        <v>12450375</v>
      </c>
      <c r="P11" s="14" t="s">
        <v>94</v>
      </c>
    </row>
    <row r="12" spans="1:16" x14ac:dyDescent="0.3">
      <c r="A12" s="8" t="s">
        <v>623</v>
      </c>
      <c r="B12" s="9" t="s">
        <v>644</v>
      </c>
      <c r="C12" s="10" t="s">
        <v>645</v>
      </c>
      <c r="D12" s="11">
        <v>43971</v>
      </c>
      <c r="E12" s="11">
        <v>43978</v>
      </c>
      <c r="F12" s="31">
        <v>38340000</v>
      </c>
      <c r="G12" s="32">
        <v>0</v>
      </c>
      <c r="H12" s="8" t="s">
        <v>626</v>
      </c>
      <c r="I12" s="12">
        <v>813005241</v>
      </c>
      <c r="J12" s="13" t="s">
        <v>647</v>
      </c>
      <c r="K12" s="14">
        <v>3500</v>
      </c>
      <c r="L12" s="15" t="s">
        <v>1277</v>
      </c>
      <c r="M12" s="16">
        <v>5200</v>
      </c>
      <c r="N12" s="16">
        <v>0</v>
      </c>
      <c r="O12" s="16">
        <f t="shared" si="3"/>
        <v>18200000</v>
      </c>
      <c r="P12" s="14" t="s">
        <v>94</v>
      </c>
    </row>
    <row r="13" spans="1:16" x14ac:dyDescent="0.3">
      <c r="A13" s="8" t="s">
        <v>693</v>
      </c>
      <c r="B13" s="9" t="s">
        <v>705</v>
      </c>
      <c r="C13" s="10" t="s">
        <v>706</v>
      </c>
      <c r="D13" s="11">
        <v>43944</v>
      </c>
      <c r="E13" s="11">
        <v>43944</v>
      </c>
      <c r="F13" s="31">
        <v>9241540</v>
      </c>
      <c r="G13" s="32">
        <v>0</v>
      </c>
      <c r="H13" s="8" t="s">
        <v>224</v>
      </c>
      <c r="I13" s="12">
        <v>900300970</v>
      </c>
      <c r="J13" s="13" t="s">
        <v>1278</v>
      </c>
      <c r="K13" s="14">
        <v>2000</v>
      </c>
      <c r="L13" s="15" t="s">
        <v>1277</v>
      </c>
      <c r="M13" s="16">
        <v>3883</v>
      </c>
      <c r="N13" s="16">
        <v>0</v>
      </c>
      <c r="O13" s="16">
        <f t="shared" si="3"/>
        <v>7766000</v>
      </c>
      <c r="P13" s="14" t="s">
        <v>94</v>
      </c>
    </row>
    <row r="14" spans="1:16" x14ac:dyDescent="0.3">
      <c r="A14" s="8" t="s">
        <v>1231</v>
      </c>
      <c r="B14" s="9" t="s">
        <v>1232</v>
      </c>
      <c r="C14" s="17" t="s">
        <v>1233</v>
      </c>
      <c r="D14" s="11">
        <v>43915</v>
      </c>
      <c r="E14" s="11">
        <v>43916</v>
      </c>
      <c r="F14" s="31">
        <v>79231499</v>
      </c>
      <c r="G14" s="32">
        <v>0</v>
      </c>
      <c r="H14" s="8" t="s">
        <v>1234</v>
      </c>
      <c r="I14" s="12">
        <v>900916649</v>
      </c>
      <c r="J14" s="13" t="s">
        <v>1235</v>
      </c>
      <c r="K14" s="14">
        <v>800</v>
      </c>
      <c r="L14" s="18" t="s">
        <v>1277</v>
      </c>
      <c r="M14" s="16">
        <v>13000</v>
      </c>
      <c r="N14" s="16">
        <v>0</v>
      </c>
      <c r="O14" s="16">
        <f t="shared" si="3"/>
        <v>10400000</v>
      </c>
      <c r="P14" s="14" t="s">
        <v>94</v>
      </c>
    </row>
    <row r="15" spans="1:16" x14ac:dyDescent="0.3">
      <c r="A15" s="8" t="s">
        <v>885</v>
      </c>
      <c r="B15" s="9">
        <v>49009</v>
      </c>
      <c r="C15" s="17" t="s">
        <v>952</v>
      </c>
      <c r="D15" s="11">
        <v>43973</v>
      </c>
      <c r="E15" s="11">
        <v>43973</v>
      </c>
      <c r="F15" s="31">
        <v>15534230</v>
      </c>
      <c r="G15" s="32">
        <v>0</v>
      </c>
      <c r="H15" s="8" t="s">
        <v>227</v>
      </c>
      <c r="I15" s="12">
        <v>900704052</v>
      </c>
      <c r="J15" s="13" t="s">
        <v>94</v>
      </c>
      <c r="K15" s="14">
        <f>9195/3</f>
        <v>3065</v>
      </c>
      <c r="L15" s="18" t="s">
        <v>1277</v>
      </c>
      <c r="M15" s="16">
        <f>1689.42142468733*3</f>
        <v>5068.2642740619904</v>
      </c>
      <c r="N15" s="16">
        <v>0</v>
      </c>
      <c r="O15" s="16">
        <f t="shared" si="3"/>
        <v>15534230</v>
      </c>
      <c r="P15" s="14" t="s">
        <v>94</v>
      </c>
    </row>
    <row r="16" spans="1:16" x14ac:dyDescent="0.3">
      <c r="A16" s="8" t="s">
        <v>959</v>
      </c>
      <c r="B16" s="9">
        <v>35</v>
      </c>
      <c r="C16" s="10" t="s">
        <v>960</v>
      </c>
      <c r="D16" s="11">
        <v>43477</v>
      </c>
      <c r="E16" s="11">
        <v>43800</v>
      </c>
      <c r="F16" s="31">
        <v>0</v>
      </c>
      <c r="G16" s="32">
        <v>67434392</v>
      </c>
      <c r="H16" s="8" t="s">
        <v>961</v>
      </c>
      <c r="I16" s="12">
        <v>811044253</v>
      </c>
      <c r="J16" s="13" t="s">
        <v>963</v>
      </c>
      <c r="K16" s="14">
        <f>579/3</f>
        <v>193</v>
      </c>
      <c r="L16" s="18" t="s">
        <v>1277</v>
      </c>
      <c r="M16" s="16">
        <f>5200*3</f>
        <v>15600</v>
      </c>
      <c r="N16" s="16">
        <v>0</v>
      </c>
      <c r="O16" s="16">
        <f t="shared" si="3"/>
        <v>3010800</v>
      </c>
      <c r="P16" s="14" t="s">
        <v>94</v>
      </c>
    </row>
    <row r="17" spans="1:16" x14ac:dyDescent="0.3">
      <c r="A17" s="8" t="s">
        <v>976</v>
      </c>
      <c r="B17" s="9" t="s">
        <v>977</v>
      </c>
      <c r="C17" s="10" t="s">
        <v>978</v>
      </c>
      <c r="D17" s="11">
        <v>43914</v>
      </c>
      <c r="E17" s="11">
        <v>43914</v>
      </c>
      <c r="F17" s="31">
        <v>19313663</v>
      </c>
      <c r="G17" s="32">
        <v>0</v>
      </c>
      <c r="H17" s="8" t="s">
        <v>979</v>
      </c>
      <c r="I17" s="12">
        <v>92511814</v>
      </c>
      <c r="J17" s="13" t="s">
        <v>1247</v>
      </c>
      <c r="K17" s="14">
        <v>120</v>
      </c>
      <c r="L17" s="18" t="s">
        <v>1277</v>
      </c>
      <c r="M17" s="16">
        <v>14000</v>
      </c>
      <c r="N17" s="16">
        <f>M17*0.19</f>
        <v>2660</v>
      </c>
      <c r="O17" s="16">
        <f t="shared" si="3"/>
        <v>1999200</v>
      </c>
      <c r="P17" s="14" t="s">
        <v>94</v>
      </c>
    </row>
    <row r="18" spans="1:16" x14ac:dyDescent="0.3">
      <c r="A18" s="8" t="s">
        <v>976</v>
      </c>
      <c r="B18" s="9" t="s">
        <v>1036</v>
      </c>
      <c r="C18" s="10" t="s">
        <v>1037</v>
      </c>
      <c r="D18" s="11">
        <v>43986</v>
      </c>
      <c r="E18" s="11">
        <v>43986</v>
      </c>
      <c r="F18" s="31">
        <v>12492569</v>
      </c>
      <c r="G18" s="32">
        <v>0</v>
      </c>
      <c r="H18" s="8" t="s">
        <v>58</v>
      </c>
      <c r="I18" s="12">
        <v>900350133</v>
      </c>
      <c r="J18" s="13" t="s">
        <v>1253</v>
      </c>
      <c r="K18" s="14">
        <f>4704/3</f>
        <v>1568</v>
      </c>
      <c r="L18" s="18" t="s">
        <v>1277</v>
      </c>
      <c r="M18" s="16">
        <v>5212.7700000000004</v>
      </c>
      <c r="N18" s="16">
        <f>M18*0.19</f>
        <v>990.42630000000008</v>
      </c>
      <c r="O18" s="16">
        <f t="shared" si="3"/>
        <v>9726611.7984000016</v>
      </c>
      <c r="P18" s="14" t="s">
        <v>94</v>
      </c>
    </row>
    <row r="19" spans="1:16" x14ac:dyDescent="0.3">
      <c r="A19" s="8" t="s">
        <v>976</v>
      </c>
      <c r="B19" s="9" t="s">
        <v>1258</v>
      </c>
      <c r="C19" s="10" t="s">
        <v>1259</v>
      </c>
      <c r="D19" s="11">
        <v>43770</v>
      </c>
      <c r="E19" s="11">
        <v>43980</v>
      </c>
      <c r="F19" s="31">
        <v>0</v>
      </c>
      <c r="G19" s="32">
        <v>31068000</v>
      </c>
      <c r="H19" s="8" t="s">
        <v>1260</v>
      </c>
      <c r="I19" s="12">
        <v>812000152</v>
      </c>
      <c r="J19" s="13" t="s">
        <v>1253</v>
      </c>
      <c r="K19" s="14">
        <v>672</v>
      </c>
      <c r="L19" s="18" t="s">
        <v>1277</v>
      </c>
      <c r="M19" s="16">
        <v>4000</v>
      </c>
      <c r="N19" s="16">
        <v>0</v>
      </c>
      <c r="O19" s="16">
        <f t="shared" si="3"/>
        <v>2688000</v>
      </c>
      <c r="P19" s="14" t="s">
        <v>94</v>
      </c>
    </row>
    <row r="20" spans="1:16" x14ac:dyDescent="0.3">
      <c r="A20" s="8" t="s">
        <v>1055</v>
      </c>
      <c r="B20" s="9" t="s">
        <v>1066</v>
      </c>
      <c r="C20" s="10" t="s">
        <v>1067</v>
      </c>
      <c r="D20" s="11">
        <v>43964</v>
      </c>
      <c r="E20" s="11">
        <v>43966</v>
      </c>
      <c r="F20" s="31">
        <v>7796118</v>
      </c>
      <c r="G20" s="32">
        <v>0</v>
      </c>
      <c r="H20" s="8" t="s">
        <v>1068</v>
      </c>
      <c r="I20" s="12">
        <v>900311030</v>
      </c>
      <c r="J20" s="13" t="s">
        <v>1069</v>
      </c>
      <c r="K20" s="14">
        <f>3762/3</f>
        <v>1254</v>
      </c>
      <c r="L20" s="18" t="s">
        <v>1277</v>
      </c>
      <c r="M20" s="16">
        <f>2072.333333*3</f>
        <v>6216.9999989999997</v>
      </c>
      <c r="N20" s="16">
        <v>0</v>
      </c>
      <c r="O20" s="16">
        <f t="shared" si="3"/>
        <v>7796117.9987459993</v>
      </c>
      <c r="P20" s="14" t="s">
        <v>94</v>
      </c>
    </row>
    <row r="21" spans="1:16" x14ac:dyDescent="0.3">
      <c r="A21" s="8" t="s">
        <v>1115</v>
      </c>
      <c r="B21" s="9" t="s">
        <v>1127</v>
      </c>
      <c r="C21" s="10" t="s">
        <v>1128</v>
      </c>
      <c r="D21" s="11">
        <v>43955</v>
      </c>
      <c r="E21" s="11">
        <v>43955</v>
      </c>
      <c r="F21" s="31">
        <v>12251660.609999999</v>
      </c>
      <c r="G21" s="32">
        <v>0</v>
      </c>
      <c r="H21" s="8" t="s">
        <v>51</v>
      </c>
      <c r="I21" s="12">
        <v>83001338</v>
      </c>
      <c r="J21" s="13" t="s">
        <v>1129</v>
      </c>
      <c r="K21" s="14">
        <v>1310</v>
      </c>
      <c r="L21" s="18" t="s">
        <v>1277</v>
      </c>
      <c r="M21" s="16">
        <v>5880.21</v>
      </c>
      <c r="N21" s="16">
        <f>M21*0.19</f>
        <v>1117.2399</v>
      </c>
      <c r="O21" s="16">
        <f t="shared" si="3"/>
        <v>9166659.368999999</v>
      </c>
      <c r="P21" s="19" t="s">
        <v>94</v>
      </c>
    </row>
    <row r="22" spans="1:16" x14ac:dyDescent="0.3">
      <c r="A22" s="8" t="s">
        <v>1161</v>
      </c>
      <c r="B22" s="9" t="s">
        <v>1175</v>
      </c>
      <c r="C22" s="10" t="s">
        <v>1176</v>
      </c>
      <c r="D22" s="11">
        <v>43965</v>
      </c>
      <c r="E22" s="11">
        <v>43965</v>
      </c>
      <c r="F22" s="31">
        <v>6139500</v>
      </c>
      <c r="G22" s="32">
        <v>0</v>
      </c>
      <c r="H22" s="8" t="s">
        <v>224</v>
      </c>
      <c r="I22" s="12">
        <v>900300970</v>
      </c>
      <c r="J22" s="13" t="s">
        <v>1178</v>
      </c>
      <c r="K22" s="14">
        <v>500</v>
      </c>
      <c r="L22" s="18" t="s">
        <v>1277</v>
      </c>
      <c r="M22" s="16">
        <v>5100</v>
      </c>
      <c r="N22" s="16">
        <f>M22*0.19</f>
        <v>969</v>
      </c>
      <c r="O22" s="16">
        <f t="shared" si="3"/>
        <v>3034500</v>
      </c>
      <c r="P22" s="14" t="s">
        <v>94</v>
      </c>
    </row>
  </sheetData>
  <dataValidations count="14">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3 D2:I3 D4:E4 E5 E10 E12 E16 E18 E2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 B7 B10:B12 B14 B17:B1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 H7 H9:H12 H14 H17 H20:H22">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5 I9:I10 I12 I20:I2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11 A14 A17:A1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5 F10 F12 F14 F16:F18 F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 D10 D12 D14:E15 D16:D18 E17 D2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7">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7:E7 D9:E9 D11:E11 D13:E13 D21:E2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8 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9 B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9 F11 F21: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14">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22">
      <formula1>0</formula1>
      <formula2>390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J1" workbookViewId="0">
      <selection activeCell="P20" sqref="P20"/>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1289</v>
      </c>
      <c r="B2" s="9" t="s">
        <v>112</v>
      </c>
      <c r="C2" s="17" t="s">
        <v>1301</v>
      </c>
      <c r="D2" s="11">
        <v>43966</v>
      </c>
      <c r="E2" s="11">
        <v>43966</v>
      </c>
      <c r="F2" s="31">
        <v>10515900</v>
      </c>
      <c r="G2" s="32">
        <v>0</v>
      </c>
      <c r="H2" s="8" t="s">
        <v>1302</v>
      </c>
      <c r="I2" s="12">
        <v>830001338</v>
      </c>
      <c r="J2" s="13" t="s">
        <v>1454</v>
      </c>
      <c r="K2" s="24">
        <f>100*4</f>
        <v>400</v>
      </c>
      <c r="L2" s="18" t="s">
        <v>172</v>
      </c>
      <c r="M2" s="16">
        <f>51429/4</f>
        <v>12857.25</v>
      </c>
      <c r="N2" s="16">
        <v>0</v>
      </c>
      <c r="O2" s="16">
        <f t="shared" ref="O2:O29" si="0">K2*(M2+N2)</f>
        <v>5142900</v>
      </c>
      <c r="P2" s="19" t="s">
        <v>96</v>
      </c>
    </row>
    <row r="3" spans="1:16" x14ac:dyDescent="0.3">
      <c r="A3" s="8" t="s">
        <v>1289</v>
      </c>
      <c r="B3" s="9" t="s">
        <v>114</v>
      </c>
      <c r="C3" s="17" t="s">
        <v>1304</v>
      </c>
      <c r="D3" s="11">
        <v>43966</v>
      </c>
      <c r="E3" s="11">
        <v>43966</v>
      </c>
      <c r="F3" s="31">
        <v>11191700</v>
      </c>
      <c r="G3" s="32">
        <v>0</v>
      </c>
      <c r="H3" s="8" t="s">
        <v>1305</v>
      </c>
      <c r="I3" s="12">
        <v>80736955</v>
      </c>
      <c r="J3" s="13" t="s">
        <v>1455</v>
      </c>
      <c r="K3" s="24">
        <f>1000/2</f>
        <v>500</v>
      </c>
      <c r="L3" s="18" t="s">
        <v>172</v>
      </c>
      <c r="M3" s="16">
        <f>10799*2</f>
        <v>21598</v>
      </c>
      <c r="N3" s="16">
        <v>0</v>
      </c>
      <c r="O3" s="16">
        <f t="shared" si="0"/>
        <v>10799000</v>
      </c>
      <c r="P3" s="19" t="s">
        <v>96</v>
      </c>
    </row>
    <row r="4" spans="1:16" x14ac:dyDescent="0.3">
      <c r="A4" s="8" t="s">
        <v>86</v>
      </c>
      <c r="B4" s="9" t="s">
        <v>90</v>
      </c>
      <c r="C4" s="10" t="s">
        <v>91</v>
      </c>
      <c r="D4" s="11">
        <v>43916</v>
      </c>
      <c r="E4" s="11">
        <v>43920</v>
      </c>
      <c r="F4" s="31">
        <v>219927500</v>
      </c>
      <c r="G4" s="32">
        <v>0</v>
      </c>
      <c r="H4" s="8" t="s">
        <v>92</v>
      </c>
      <c r="I4" s="12">
        <v>900521780</v>
      </c>
      <c r="J4" s="13" t="s">
        <v>1457</v>
      </c>
      <c r="K4" s="24">
        <v>1150</v>
      </c>
      <c r="L4" s="15" t="s">
        <v>172</v>
      </c>
      <c r="M4" s="16">
        <v>9750</v>
      </c>
      <c r="N4" s="16">
        <v>0</v>
      </c>
      <c r="O4" s="16">
        <f t="shared" si="0"/>
        <v>11212500</v>
      </c>
      <c r="P4" s="14" t="s">
        <v>96</v>
      </c>
    </row>
    <row r="5" spans="1:16" x14ac:dyDescent="0.3">
      <c r="A5" s="8" t="s">
        <v>153</v>
      </c>
      <c r="B5" s="9" t="s">
        <v>190</v>
      </c>
      <c r="C5" s="10" t="s">
        <v>191</v>
      </c>
      <c r="D5" s="11">
        <v>43959</v>
      </c>
      <c r="E5" s="11">
        <v>43959</v>
      </c>
      <c r="F5" s="31">
        <v>7907306</v>
      </c>
      <c r="G5" s="32">
        <v>0</v>
      </c>
      <c r="H5" s="8" t="s">
        <v>51</v>
      </c>
      <c r="I5" s="12">
        <v>830001338</v>
      </c>
      <c r="J5" s="13" t="s">
        <v>1462</v>
      </c>
      <c r="K5" s="24">
        <f>(1099*750)/1000</f>
        <v>824.25</v>
      </c>
      <c r="L5" s="15" t="s">
        <v>172</v>
      </c>
      <c r="M5" s="16">
        <f>7195*1000/750</f>
        <v>9593.3333333333339</v>
      </c>
      <c r="N5" s="16">
        <v>0</v>
      </c>
      <c r="O5" s="16">
        <f t="shared" si="0"/>
        <v>7907305.0000000009</v>
      </c>
      <c r="P5" s="14" t="s">
        <v>96</v>
      </c>
    </row>
    <row r="6" spans="1:16" x14ac:dyDescent="0.3">
      <c r="A6" s="8" t="s">
        <v>252</v>
      </c>
      <c r="B6" s="9" t="s">
        <v>270</v>
      </c>
      <c r="C6" s="10" t="s">
        <v>271</v>
      </c>
      <c r="D6" s="11">
        <v>43962</v>
      </c>
      <c r="E6" s="11">
        <v>43962</v>
      </c>
      <c r="F6" s="31">
        <v>32520000</v>
      </c>
      <c r="G6" s="32">
        <v>0</v>
      </c>
      <c r="H6" s="8" t="s">
        <v>249</v>
      </c>
      <c r="I6" s="12">
        <v>900567130</v>
      </c>
      <c r="J6" s="13" t="s">
        <v>272</v>
      </c>
      <c r="K6" s="24">
        <v>2168</v>
      </c>
      <c r="L6" s="15" t="s">
        <v>172</v>
      </c>
      <c r="M6" s="16">
        <v>15000</v>
      </c>
      <c r="N6" s="16">
        <v>0</v>
      </c>
      <c r="O6" s="16">
        <f t="shared" si="0"/>
        <v>32520000</v>
      </c>
      <c r="P6" s="14" t="s">
        <v>96</v>
      </c>
    </row>
    <row r="7" spans="1:16" x14ac:dyDescent="0.3">
      <c r="A7" s="8" t="s">
        <v>252</v>
      </c>
      <c r="B7" s="9" t="s">
        <v>284</v>
      </c>
      <c r="C7" s="10" t="s">
        <v>285</v>
      </c>
      <c r="D7" s="11">
        <v>43973</v>
      </c>
      <c r="E7" s="11">
        <v>43973</v>
      </c>
      <c r="F7" s="31">
        <v>27600000</v>
      </c>
      <c r="G7" s="32">
        <v>0</v>
      </c>
      <c r="H7" s="8" t="s">
        <v>249</v>
      </c>
      <c r="I7" s="12">
        <v>900567130</v>
      </c>
      <c r="J7" s="13" t="s">
        <v>1463</v>
      </c>
      <c r="K7" s="24">
        <v>3000</v>
      </c>
      <c r="L7" s="15" t="s">
        <v>172</v>
      </c>
      <c r="M7" s="16">
        <v>9200</v>
      </c>
      <c r="N7" s="16">
        <v>0</v>
      </c>
      <c r="O7" s="16">
        <f t="shared" si="0"/>
        <v>27600000</v>
      </c>
      <c r="P7" s="14" t="s">
        <v>96</v>
      </c>
    </row>
    <row r="8" spans="1:16" x14ac:dyDescent="0.3">
      <c r="A8" s="8" t="s">
        <v>320</v>
      </c>
      <c r="B8" s="9" t="s">
        <v>331</v>
      </c>
      <c r="C8" s="10" t="s">
        <v>332</v>
      </c>
      <c r="D8" s="11">
        <v>43966</v>
      </c>
      <c r="E8" s="11">
        <v>43969</v>
      </c>
      <c r="F8" s="31">
        <v>27782000</v>
      </c>
      <c r="G8" s="32">
        <v>0</v>
      </c>
      <c r="H8" s="8" t="s">
        <v>333</v>
      </c>
      <c r="I8" s="12">
        <v>900881350</v>
      </c>
      <c r="J8" s="13" t="s">
        <v>1464</v>
      </c>
      <c r="K8" s="24">
        <v>1215.1199999999999</v>
      </c>
      <c r="L8" s="15" t="s">
        <v>172</v>
      </c>
      <c r="M8" s="16">
        <v>5555</v>
      </c>
      <c r="N8" s="16">
        <v>0</v>
      </c>
      <c r="O8" s="16">
        <f t="shared" si="0"/>
        <v>6749991.5999999996</v>
      </c>
      <c r="P8" s="14" t="s">
        <v>96</v>
      </c>
    </row>
    <row r="9" spans="1:16" x14ac:dyDescent="0.3">
      <c r="A9" s="8" t="s">
        <v>407</v>
      </c>
      <c r="B9" s="9" t="s">
        <v>417</v>
      </c>
      <c r="C9" s="10" t="s">
        <v>1223</v>
      </c>
      <c r="D9" s="11">
        <v>43929</v>
      </c>
      <c r="E9" s="11">
        <v>43929</v>
      </c>
      <c r="F9" s="31">
        <v>6125000</v>
      </c>
      <c r="G9" s="32">
        <v>0</v>
      </c>
      <c r="H9" s="8" t="s">
        <v>418</v>
      </c>
      <c r="I9" s="12">
        <v>1053782604</v>
      </c>
      <c r="J9" s="13" t="s">
        <v>96</v>
      </c>
      <c r="K9" s="24">
        <v>225</v>
      </c>
      <c r="L9" s="15" t="s">
        <v>172</v>
      </c>
      <c r="M9" s="16">
        <v>14000</v>
      </c>
      <c r="N9" s="16">
        <v>0</v>
      </c>
      <c r="O9" s="16">
        <f t="shared" si="0"/>
        <v>3150000</v>
      </c>
      <c r="P9" s="14" t="s">
        <v>96</v>
      </c>
    </row>
    <row r="10" spans="1:16" x14ac:dyDescent="0.3">
      <c r="A10" s="8" t="s">
        <v>407</v>
      </c>
      <c r="B10" s="9" t="s">
        <v>417</v>
      </c>
      <c r="C10" s="10" t="s">
        <v>1223</v>
      </c>
      <c r="D10" s="11">
        <v>43929</v>
      </c>
      <c r="E10" s="11">
        <v>43929</v>
      </c>
      <c r="F10" s="31">
        <v>6125000</v>
      </c>
      <c r="G10" s="32">
        <v>0</v>
      </c>
      <c r="H10" s="8" t="s">
        <v>418</v>
      </c>
      <c r="I10" s="12">
        <v>1053782604</v>
      </c>
      <c r="J10" s="13" t="s">
        <v>96</v>
      </c>
      <c r="K10" s="24">
        <v>26.1</v>
      </c>
      <c r="L10" s="15" t="s">
        <v>172</v>
      </c>
      <c r="M10" s="16">
        <v>13409.961685823753</v>
      </c>
      <c r="N10" s="16">
        <v>0</v>
      </c>
      <c r="O10" s="16">
        <f t="shared" si="0"/>
        <v>350000</v>
      </c>
      <c r="P10" s="14" t="s">
        <v>96</v>
      </c>
    </row>
    <row r="11" spans="1:16" x14ac:dyDescent="0.3">
      <c r="A11" s="8" t="s">
        <v>407</v>
      </c>
      <c r="B11" s="9" t="s">
        <v>448</v>
      </c>
      <c r="C11" s="10" t="s">
        <v>449</v>
      </c>
      <c r="D11" s="11">
        <v>43983</v>
      </c>
      <c r="E11" s="11">
        <v>43983</v>
      </c>
      <c r="F11" s="31">
        <v>2900000</v>
      </c>
      <c r="G11" s="32">
        <v>0</v>
      </c>
      <c r="H11" s="8" t="s">
        <v>51</v>
      </c>
      <c r="I11" s="12">
        <v>830001338</v>
      </c>
      <c r="J11" s="13" t="s">
        <v>1465</v>
      </c>
      <c r="K11" s="24">
        <v>300</v>
      </c>
      <c r="L11" s="15" t="s">
        <v>172</v>
      </c>
      <c r="M11" s="16">
        <v>8666.6666666666661</v>
      </c>
      <c r="N11" s="16">
        <v>0</v>
      </c>
      <c r="O11" s="16">
        <f t="shared" si="0"/>
        <v>2600000</v>
      </c>
      <c r="P11" s="14" t="s">
        <v>96</v>
      </c>
    </row>
    <row r="12" spans="1:16" x14ac:dyDescent="0.3">
      <c r="A12" s="8" t="s">
        <v>544</v>
      </c>
      <c r="B12" s="9" t="s">
        <v>576</v>
      </c>
      <c r="C12" s="10" t="s">
        <v>564</v>
      </c>
      <c r="D12" s="11" t="s">
        <v>577</v>
      </c>
      <c r="E12" s="11" t="s">
        <v>577</v>
      </c>
      <c r="F12" s="31">
        <v>15999997</v>
      </c>
      <c r="G12" s="32">
        <v>0</v>
      </c>
      <c r="H12" s="8" t="s">
        <v>566</v>
      </c>
      <c r="I12" s="12">
        <v>901260145</v>
      </c>
      <c r="J12" s="13" t="s">
        <v>578</v>
      </c>
      <c r="K12" s="24">
        <v>400</v>
      </c>
      <c r="L12" s="15" t="s">
        <v>172</v>
      </c>
      <c r="M12" s="16">
        <v>21008.400000000001</v>
      </c>
      <c r="N12" s="16">
        <f t="shared" ref="N12" si="1">M12*0.19</f>
        <v>3991.5960000000005</v>
      </c>
      <c r="O12" s="16">
        <f t="shared" si="0"/>
        <v>9999998.4000000004</v>
      </c>
      <c r="P12" s="14" t="s">
        <v>96</v>
      </c>
    </row>
    <row r="13" spans="1:16" x14ac:dyDescent="0.3">
      <c r="A13" s="8" t="s">
        <v>623</v>
      </c>
      <c r="B13" s="9" t="s">
        <v>640</v>
      </c>
      <c r="C13" s="10" t="s">
        <v>625</v>
      </c>
      <c r="D13" s="11">
        <v>43920</v>
      </c>
      <c r="E13" s="11">
        <v>43922</v>
      </c>
      <c r="F13" s="31">
        <v>26949480</v>
      </c>
      <c r="G13" s="32">
        <v>0</v>
      </c>
      <c r="H13" s="8" t="s">
        <v>641</v>
      </c>
      <c r="I13" s="12">
        <v>900916649</v>
      </c>
      <c r="J13" s="13" t="s">
        <v>1457</v>
      </c>
      <c r="K13" s="24">
        <v>445</v>
      </c>
      <c r="L13" s="15" t="s">
        <v>172</v>
      </c>
      <c r="M13" s="16">
        <v>17864</v>
      </c>
      <c r="N13" s="16">
        <v>0</v>
      </c>
      <c r="O13" s="16">
        <f t="shared" si="0"/>
        <v>7949480</v>
      </c>
      <c r="P13" s="14" t="s">
        <v>96</v>
      </c>
    </row>
    <row r="14" spans="1:16" x14ac:dyDescent="0.3">
      <c r="A14" s="8" t="s">
        <v>623</v>
      </c>
      <c r="B14" s="9" t="s">
        <v>674</v>
      </c>
      <c r="C14" s="10" t="s">
        <v>661</v>
      </c>
      <c r="D14" s="11">
        <v>43979</v>
      </c>
      <c r="E14" s="11">
        <v>43979</v>
      </c>
      <c r="F14" s="31">
        <v>79458450</v>
      </c>
      <c r="G14" s="32">
        <v>0</v>
      </c>
      <c r="H14" s="8" t="s">
        <v>675</v>
      </c>
      <c r="I14" s="12">
        <v>813005241</v>
      </c>
      <c r="J14" s="13" t="s">
        <v>1466</v>
      </c>
      <c r="K14" s="24">
        <v>832</v>
      </c>
      <c r="L14" s="15" t="s">
        <v>172</v>
      </c>
      <c r="M14" s="16">
        <v>9397.1754799999999</v>
      </c>
      <c r="N14" s="16">
        <v>0</v>
      </c>
      <c r="O14" s="16">
        <f t="shared" si="0"/>
        <v>7818449.9993599998</v>
      </c>
      <c r="P14" s="14" t="s">
        <v>96</v>
      </c>
    </row>
    <row r="15" spans="1:16" x14ac:dyDescent="0.3">
      <c r="A15" s="8" t="s">
        <v>693</v>
      </c>
      <c r="B15" s="9" t="s">
        <v>697</v>
      </c>
      <c r="C15" s="10" t="s">
        <v>698</v>
      </c>
      <c r="D15" s="11">
        <v>43944</v>
      </c>
      <c r="E15" s="11">
        <v>43944</v>
      </c>
      <c r="F15" s="31">
        <v>5142900</v>
      </c>
      <c r="G15" s="32">
        <v>0</v>
      </c>
      <c r="H15" s="8" t="s">
        <v>51</v>
      </c>
      <c r="I15" s="12">
        <v>830001338</v>
      </c>
      <c r="J15" s="13" t="s">
        <v>1459</v>
      </c>
      <c r="K15" s="24">
        <v>380</v>
      </c>
      <c r="L15" s="15" t="s">
        <v>172</v>
      </c>
      <c r="M15" s="16">
        <v>13533.94736842</v>
      </c>
      <c r="N15" s="16">
        <v>0</v>
      </c>
      <c r="O15" s="16">
        <f t="shared" si="0"/>
        <v>5142899.9999996005</v>
      </c>
      <c r="P15" s="14" t="s">
        <v>96</v>
      </c>
    </row>
    <row r="16" spans="1:16" x14ac:dyDescent="0.3">
      <c r="A16" s="8" t="s">
        <v>693</v>
      </c>
      <c r="B16" s="9" t="s">
        <v>719</v>
      </c>
      <c r="C16" s="10" t="s">
        <v>720</v>
      </c>
      <c r="D16" s="11">
        <v>43999</v>
      </c>
      <c r="E16" s="11">
        <v>43999</v>
      </c>
      <c r="F16" s="31">
        <v>18939000</v>
      </c>
      <c r="G16" s="32">
        <v>0</v>
      </c>
      <c r="H16" s="8" t="s">
        <v>721</v>
      </c>
      <c r="I16" s="12">
        <v>900023386</v>
      </c>
      <c r="J16" s="13" t="s">
        <v>1245</v>
      </c>
      <c r="K16" s="24">
        <v>170</v>
      </c>
      <c r="L16" s="15" t="s">
        <v>172</v>
      </c>
      <c r="M16" s="16">
        <v>15300</v>
      </c>
      <c r="N16" s="16">
        <v>0</v>
      </c>
      <c r="O16" s="16">
        <f t="shared" si="0"/>
        <v>2601000</v>
      </c>
      <c r="P16" s="14" t="s">
        <v>96</v>
      </c>
    </row>
    <row r="17" spans="1:16" x14ac:dyDescent="0.3">
      <c r="A17" s="8" t="s">
        <v>728</v>
      </c>
      <c r="B17" s="9" t="s">
        <v>755</v>
      </c>
      <c r="C17" s="10" t="s">
        <v>756</v>
      </c>
      <c r="D17" s="11">
        <v>43970</v>
      </c>
      <c r="E17" s="11">
        <v>43970</v>
      </c>
      <c r="F17" s="31">
        <v>12206031</v>
      </c>
      <c r="G17" s="32">
        <v>0</v>
      </c>
      <c r="H17" s="8" t="s">
        <v>224</v>
      </c>
      <c r="I17" s="12">
        <v>900300970</v>
      </c>
      <c r="J17" s="13" t="s">
        <v>96</v>
      </c>
      <c r="K17" s="24">
        <v>225</v>
      </c>
      <c r="L17" s="15" t="s">
        <v>172</v>
      </c>
      <c r="M17" s="16">
        <v>9581.24</v>
      </c>
      <c r="N17" s="16">
        <v>0</v>
      </c>
      <c r="O17" s="16">
        <f t="shared" si="0"/>
        <v>2155779</v>
      </c>
      <c r="P17" s="14" t="s">
        <v>96</v>
      </c>
    </row>
    <row r="18" spans="1:16" x14ac:dyDescent="0.3">
      <c r="A18" s="8" t="s">
        <v>728</v>
      </c>
      <c r="B18" s="9" t="s">
        <v>755</v>
      </c>
      <c r="C18" s="10" t="s">
        <v>756</v>
      </c>
      <c r="D18" s="11">
        <v>43970</v>
      </c>
      <c r="E18" s="11">
        <v>43970</v>
      </c>
      <c r="F18" s="31">
        <v>12206031</v>
      </c>
      <c r="G18" s="32">
        <v>0</v>
      </c>
      <c r="H18" s="8" t="s">
        <v>224</v>
      </c>
      <c r="I18" s="12">
        <v>900300970</v>
      </c>
      <c r="J18" s="13" t="s">
        <v>1454</v>
      </c>
      <c r="K18" s="24">
        <v>750</v>
      </c>
      <c r="L18" s="15" t="s">
        <v>172</v>
      </c>
      <c r="M18" s="16">
        <v>13400.335999999999</v>
      </c>
      <c r="N18" s="16">
        <v>0</v>
      </c>
      <c r="O18" s="16">
        <f t="shared" si="0"/>
        <v>10050252</v>
      </c>
      <c r="P18" s="14" t="s">
        <v>96</v>
      </c>
    </row>
    <row r="19" spans="1:16" x14ac:dyDescent="0.3">
      <c r="A19" s="8" t="s">
        <v>728</v>
      </c>
      <c r="B19" s="9" t="s">
        <v>762</v>
      </c>
      <c r="C19" s="10" t="s">
        <v>759</v>
      </c>
      <c r="D19" s="11">
        <v>43972</v>
      </c>
      <c r="E19" s="11">
        <v>43972</v>
      </c>
      <c r="F19" s="31">
        <v>2924622</v>
      </c>
      <c r="G19" s="32">
        <v>0</v>
      </c>
      <c r="H19" s="8" t="s">
        <v>227</v>
      </c>
      <c r="I19" s="12">
        <v>900704052</v>
      </c>
      <c r="J19" s="13" t="s">
        <v>1458</v>
      </c>
      <c r="K19" s="24">
        <v>150</v>
      </c>
      <c r="L19" s="15" t="s">
        <v>172</v>
      </c>
      <c r="M19" s="16">
        <v>19497.48</v>
      </c>
      <c r="N19" s="16">
        <v>0</v>
      </c>
      <c r="O19" s="16">
        <f t="shared" si="0"/>
        <v>2924622</v>
      </c>
      <c r="P19" s="14" t="s">
        <v>96</v>
      </c>
    </row>
    <row r="20" spans="1:16" x14ac:dyDescent="0.3">
      <c r="A20" s="8" t="s">
        <v>959</v>
      </c>
      <c r="B20" s="9">
        <v>35</v>
      </c>
      <c r="C20" s="10" t="s">
        <v>960</v>
      </c>
      <c r="D20" s="11">
        <v>43477</v>
      </c>
      <c r="E20" s="11">
        <v>43800</v>
      </c>
      <c r="F20" s="31">
        <v>0</v>
      </c>
      <c r="G20" s="32">
        <v>67434392</v>
      </c>
      <c r="H20" s="8" t="s">
        <v>961</v>
      </c>
      <c r="I20" s="12">
        <v>811044253</v>
      </c>
      <c r="J20" s="13" t="s">
        <v>1456</v>
      </c>
      <c r="K20" s="24">
        <v>400</v>
      </c>
      <c r="L20" s="15" t="s">
        <v>172</v>
      </c>
      <c r="M20" s="16">
        <v>8193</v>
      </c>
      <c r="N20" s="16">
        <v>0</v>
      </c>
      <c r="O20" s="16">
        <f t="shared" si="0"/>
        <v>3277200</v>
      </c>
      <c r="P20" s="14" t="s">
        <v>96</v>
      </c>
    </row>
    <row r="21" spans="1:16" x14ac:dyDescent="0.3">
      <c r="A21" s="8" t="s">
        <v>959</v>
      </c>
      <c r="B21" s="9">
        <v>35</v>
      </c>
      <c r="C21" s="10" t="s">
        <v>960</v>
      </c>
      <c r="D21" s="11">
        <v>43477</v>
      </c>
      <c r="E21" s="11">
        <v>43800</v>
      </c>
      <c r="F21" s="31">
        <v>0</v>
      </c>
      <c r="G21" s="32">
        <v>67434392</v>
      </c>
      <c r="H21" s="8" t="s">
        <v>961</v>
      </c>
      <c r="I21" s="12">
        <v>811044253</v>
      </c>
      <c r="J21" s="37" t="s">
        <v>1467</v>
      </c>
      <c r="K21" s="24">
        <v>40</v>
      </c>
      <c r="L21" s="15" t="s">
        <v>172</v>
      </c>
      <c r="M21" s="16">
        <v>10920</v>
      </c>
      <c r="N21" s="16">
        <v>0</v>
      </c>
      <c r="O21" s="16">
        <f t="shared" si="0"/>
        <v>436800</v>
      </c>
      <c r="P21" s="14" t="s">
        <v>96</v>
      </c>
    </row>
    <row r="22" spans="1:16" x14ac:dyDescent="0.3">
      <c r="A22" s="8" t="s">
        <v>976</v>
      </c>
      <c r="B22" s="9" t="s">
        <v>1035</v>
      </c>
      <c r="C22" s="10" t="s">
        <v>1029</v>
      </c>
      <c r="D22" s="11">
        <v>43979</v>
      </c>
      <c r="E22" s="11">
        <v>43979</v>
      </c>
      <c r="F22" s="31">
        <v>1729522.14</v>
      </c>
      <c r="G22" s="32">
        <v>0</v>
      </c>
      <c r="H22" s="8" t="s">
        <v>951</v>
      </c>
      <c r="I22" s="12">
        <v>805023817</v>
      </c>
      <c r="J22" s="13" t="s">
        <v>1457</v>
      </c>
      <c r="K22" s="24">
        <v>189</v>
      </c>
      <c r="L22" s="15" t="s">
        <v>172</v>
      </c>
      <c r="M22" s="16">
        <v>7869.75</v>
      </c>
      <c r="N22" s="16">
        <v>0</v>
      </c>
      <c r="O22" s="16">
        <f t="shared" si="0"/>
        <v>1487382.75</v>
      </c>
      <c r="P22" s="14" t="s">
        <v>96</v>
      </c>
    </row>
    <row r="23" spans="1:16" x14ac:dyDescent="0.3">
      <c r="A23" s="8" t="s">
        <v>976</v>
      </c>
      <c r="B23" s="9" t="s">
        <v>1048</v>
      </c>
      <c r="C23" s="10" t="s">
        <v>1049</v>
      </c>
      <c r="D23" s="11">
        <v>43998</v>
      </c>
      <c r="E23" s="11">
        <v>43998</v>
      </c>
      <c r="F23" s="31">
        <v>7473404</v>
      </c>
      <c r="G23" s="32">
        <v>0</v>
      </c>
      <c r="H23" s="8" t="s">
        <v>227</v>
      </c>
      <c r="I23" s="12">
        <v>900704052</v>
      </c>
      <c r="J23" s="13" t="s">
        <v>1455</v>
      </c>
      <c r="K23" s="24">
        <v>549</v>
      </c>
      <c r="L23" s="15" t="s">
        <v>172</v>
      </c>
      <c r="M23" s="16">
        <v>12648</v>
      </c>
      <c r="N23" s="16">
        <v>0</v>
      </c>
      <c r="O23" s="16">
        <f t="shared" si="0"/>
        <v>6943752</v>
      </c>
      <c r="P23" s="14" t="s">
        <v>96</v>
      </c>
    </row>
    <row r="24" spans="1:16" x14ac:dyDescent="0.3">
      <c r="A24" s="8" t="s">
        <v>976</v>
      </c>
      <c r="B24" s="9" t="s">
        <v>1052</v>
      </c>
      <c r="C24" s="10" t="s">
        <v>1053</v>
      </c>
      <c r="D24" s="11">
        <v>44033</v>
      </c>
      <c r="E24" s="11">
        <v>44033</v>
      </c>
      <c r="F24" s="31">
        <v>5100093</v>
      </c>
      <c r="G24" s="32">
        <v>0</v>
      </c>
      <c r="H24" s="8" t="s">
        <v>1054</v>
      </c>
      <c r="I24" s="12">
        <v>811008383</v>
      </c>
      <c r="J24" s="13" t="s">
        <v>96</v>
      </c>
      <c r="K24" s="24">
        <v>1022</v>
      </c>
      <c r="L24" s="15" t="s">
        <v>172</v>
      </c>
      <c r="M24" s="16">
        <v>4413</v>
      </c>
      <c r="N24" s="16">
        <v>0</v>
      </c>
      <c r="O24" s="16">
        <f t="shared" si="0"/>
        <v>4510086</v>
      </c>
      <c r="P24" s="14" t="s">
        <v>96</v>
      </c>
    </row>
    <row r="25" spans="1:16" x14ac:dyDescent="0.3">
      <c r="A25" s="8" t="s">
        <v>1055</v>
      </c>
      <c r="B25" s="9" t="s">
        <v>1063</v>
      </c>
      <c r="C25" s="10" t="s">
        <v>1064</v>
      </c>
      <c r="D25" s="11">
        <v>43950</v>
      </c>
      <c r="E25" s="11">
        <v>43952</v>
      </c>
      <c r="F25" s="31">
        <v>5747700</v>
      </c>
      <c r="G25" s="32">
        <v>0</v>
      </c>
      <c r="H25" s="8" t="s">
        <v>1065</v>
      </c>
      <c r="I25" s="12">
        <v>901346165</v>
      </c>
      <c r="J25" s="13" t="s">
        <v>1460</v>
      </c>
      <c r="K25" s="24">
        <v>735</v>
      </c>
      <c r="L25" s="15" t="s">
        <v>172</v>
      </c>
      <c r="M25" s="16">
        <v>7820</v>
      </c>
      <c r="N25" s="16">
        <v>0</v>
      </c>
      <c r="O25" s="16">
        <f t="shared" si="0"/>
        <v>5747700</v>
      </c>
      <c r="P25" s="14" t="s">
        <v>96</v>
      </c>
    </row>
    <row r="26" spans="1:16" x14ac:dyDescent="0.3">
      <c r="A26" s="8" t="s">
        <v>1055</v>
      </c>
      <c r="B26" s="9" t="s">
        <v>1079</v>
      </c>
      <c r="C26" s="10" t="s">
        <v>1080</v>
      </c>
      <c r="D26" s="11">
        <v>43979</v>
      </c>
      <c r="E26" s="11">
        <v>43983</v>
      </c>
      <c r="F26" s="31">
        <v>3040254</v>
      </c>
      <c r="G26" s="32">
        <v>0</v>
      </c>
      <c r="H26" s="8" t="s">
        <v>1065</v>
      </c>
      <c r="I26" s="12">
        <v>901346165</v>
      </c>
      <c r="J26" s="13" t="s">
        <v>1461</v>
      </c>
      <c r="K26" s="24">
        <v>100</v>
      </c>
      <c r="L26" s="15" t="s">
        <v>172</v>
      </c>
      <c r="M26" s="16">
        <v>7152.54</v>
      </c>
      <c r="N26" s="16">
        <v>0</v>
      </c>
      <c r="O26" s="16">
        <f t="shared" si="0"/>
        <v>715254</v>
      </c>
      <c r="P26" s="14" t="s">
        <v>96</v>
      </c>
    </row>
    <row r="27" spans="1:16" x14ac:dyDescent="0.3">
      <c r="A27" s="8" t="s">
        <v>1055</v>
      </c>
      <c r="B27" s="9" t="s">
        <v>1079</v>
      </c>
      <c r="C27" s="10" t="s">
        <v>1080</v>
      </c>
      <c r="D27" s="11">
        <v>43979</v>
      </c>
      <c r="E27" s="11">
        <v>43983</v>
      </c>
      <c r="F27" s="31">
        <v>3040254</v>
      </c>
      <c r="G27" s="32">
        <v>0</v>
      </c>
      <c r="H27" s="8" t="s">
        <v>1065</v>
      </c>
      <c r="I27" s="12">
        <v>901346165</v>
      </c>
      <c r="J27" s="13" t="s">
        <v>1460</v>
      </c>
      <c r="K27" s="24">
        <v>300</v>
      </c>
      <c r="L27" s="15" t="s">
        <v>172</v>
      </c>
      <c r="M27" s="16">
        <v>7750</v>
      </c>
      <c r="N27" s="16">
        <v>0</v>
      </c>
      <c r="O27" s="16">
        <f t="shared" si="0"/>
        <v>2325000</v>
      </c>
      <c r="P27" s="14" t="s">
        <v>96</v>
      </c>
    </row>
    <row r="28" spans="1:16" x14ac:dyDescent="0.3">
      <c r="A28" s="8" t="s">
        <v>1115</v>
      </c>
      <c r="B28" s="9">
        <v>4</v>
      </c>
      <c r="C28" s="10" t="s">
        <v>1124</v>
      </c>
      <c r="D28" s="11">
        <v>43945</v>
      </c>
      <c r="E28" s="11">
        <v>43948</v>
      </c>
      <c r="F28" s="31">
        <v>2580000</v>
      </c>
      <c r="G28" s="32">
        <v>0</v>
      </c>
      <c r="H28" s="8" t="s">
        <v>1125</v>
      </c>
      <c r="I28" s="12">
        <v>901322759</v>
      </c>
      <c r="J28" s="13" t="s">
        <v>1126</v>
      </c>
      <c r="K28" s="24">
        <v>300</v>
      </c>
      <c r="L28" s="15" t="s">
        <v>172</v>
      </c>
      <c r="M28" s="16">
        <v>8600</v>
      </c>
      <c r="N28" s="16">
        <v>0</v>
      </c>
      <c r="O28" s="16">
        <f t="shared" si="0"/>
        <v>2580000</v>
      </c>
      <c r="P28" s="19" t="s">
        <v>96</v>
      </c>
    </row>
    <row r="29" spans="1:16" x14ac:dyDescent="0.3">
      <c r="A29" s="8" t="s">
        <v>1161</v>
      </c>
      <c r="B29" s="9" t="s">
        <v>1205</v>
      </c>
      <c r="C29" s="10" t="s">
        <v>1206</v>
      </c>
      <c r="D29" s="11">
        <v>44008</v>
      </c>
      <c r="E29" s="11">
        <v>44008</v>
      </c>
      <c r="F29" s="31">
        <v>1949822</v>
      </c>
      <c r="G29" s="32">
        <v>0</v>
      </c>
      <c r="H29" s="8" t="s">
        <v>51</v>
      </c>
      <c r="I29" s="12">
        <v>830001338</v>
      </c>
      <c r="J29" s="13" t="s">
        <v>1207</v>
      </c>
      <c r="K29" s="24">
        <f>(354*750)/1000</f>
        <v>265.5</v>
      </c>
      <c r="L29" s="15" t="s">
        <v>172</v>
      </c>
      <c r="M29" s="16">
        <f>4943*1000/750</f>
        <v>6590.666666666667</v>
      </c>
      <c r="N29" s="16">
        <v>0</v>
      </c>
      <c r="O29" s="16">
        <f t="shared" si="0"/>
        <v>1749822</v>
      </c>
      <c r="P29" s="14" t="s">
        <v>96</v>
      </c>
    </row>
  </sheetData>
  <dataValidations count="1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3 D2:I3 D4:E4 E5:E8 E12:E13 E22:E23 E25 E2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 B7 B12:B13 B22:B23 B2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 H7 H12:H13 H25:H28">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5 I7 I12:I13 I25:I2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 A7 A9:A12 A22:A2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5 F7 F12:F13 F20:F23 F25 F2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 D7:D8 D12:D13 D20:E20 D22:D23 D25">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6 A29">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7 G9:G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1:E11 D14:E19 D21:E21 D26:E28">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6:F28">
      <formula1>-9223372036854770000</formula1>
      <formula2>9223372036854770000</formula2>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J1" workbookViewId="0">
      <selection activeCell="O11" sqref="O1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8" width="13.1093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47</v>
      </c>
      <c r="C2" s="10" t="s">
        <v>41</v>
      </c>
      <c r="D2" s="11">
        <v>43967</v>
      </c>
      <c r="E2" s="11">
        <v>43967</v>
      </c>
      <c r="F2" s="31">
        <v>7646052</v>
      </c>
      <c r="G2" s="32">
        <v>0</v>
      </c>
      <c r="H2" s="8" t="s">
        <v>48</v>
      </c>
      <c r="I2" s="12">
        <v>900300970</v>
      </c>
      <c r="J2" s="13" t="s">
        <v>49</v>
      </c>
      <c r="K2" s="14">
        <v>400</v>
      </c>
      <c r="L2" s="15" t="s">
        <v>1369</v>
      </c>
      <c r="M2" s="16">
        <v>16063.13</v>
      </c>
      <c r="N2" s="16">
        <f t="shared" ref="N2" si="0">M2*19%</f>
        <v>3051.9946999999997</v>
      </c>
      <c r="O2" s="16">
        <f t="shared" ref="O2:O4" si="1">K2*(M2+N2)</f>
        <v>7646049.8799999999</v>
      </c>
      <c r="P2" s="14" t="s">
        <v>94</v>
      </c>
    </row>
    <row r="3" spans="1:16" x14ac:dyDescent="0.3">
      <c r="A3" s="8" t="s">
        <v>252</v>
      </c>
      <c r="B3" s="9" t="s">
        <v>253</v>
      </c>
      <c r="C3" s="10" t="s">
        <v>254</v>
      </c>
      <c r="D3" s="11">
        <v>43900</v>
      </c>
      <c r="E3" s="11">
        <v>43900</v>
      </c>
      <c r="F3" s="31">
        <v>48156480</v>
      </c>
      <c r="G3" s="32">
        <v>0</v>
      </c>
      <c r="H3" s="8" t="s">
        <v>255</v>
      </c>
      <c r="I3" s="12">
        <v>830037946</v>
      </c>
      <c r="J3" s="13" t="s">
        <v>256</v>
      </c>
      <c r="K3" s="14">
        <v>1920</v>
      </c>
      <c r="L3" s="15" t="s">
        <v>1369</v>
      </c>
      <c r="M3" s="16">
        <v>18281</v>
      </c>
      <c r="N3" s="16">
        <v>3439</v>
      </c>
      <c r="O3" s="16">
        <f t="shared" si="1"/>
        <v>41702400</v>
      </c>
      <c r="P3" s="14" t="s">
        <v>94</v>
      </c>
    </row>
    <row r="4" spans="1:16" x14ac:dyDescent="0.3">
      <c r="A4" s="8" t="s">
        <v>252</v>
      </c>
      <c r="B4" s="9" t="s">
        <v>290</v>
      </c>
      <c r="C4" s="10" t="s">
        <v>291</v>
      </c>
      <c r="D4" s="11">
        <v>43977</v>
      </c>
      <c r="E4" s="11">
        <v>43977</v>
      </c>
      <c r="F4" s="31">
        <v>64557207</v>
      </c>
      <c r="G4" s="32">
        <v>7566432</v>
      </c>
      <c r="H4" s="8" t="s">
        <v>51</v>
      </c>
      <c r="I4" s="12">
        <v>830001381</v>
      </c>
      <c r="J4" s="13" t="s">
        <v>292</v>
      </c>
      <c r="K4" s="14">
        <v>5586</v>
      </c>
      <c r="L4" s="15" t="s">
        <v>1369</v>
      </c>
      <c r="M4" s="16">
        <v>10850</v>
      </c>
      <c r="N4" s="16">
        <v>2061.5</v>
      </c>
      <c r="O4" s="16">
        <f t="shared" si="1"/>
        <v>72123639</v>
      </c>
      <c r="P4" s="14" t="s">
        <v>94</v>
      </c>
    </row>
    <row r="5" spans="1:16" x14ac:dyDescent="0.3">
      <c r="A5" s="8" t="s">
        <v>320</v>
      </c>
      <c r="B5" s="9" t="s">
        <v>331</v>
      </c>
      <c r="C5" s="10" t="s">
        <v>332</v>
      </c>
      <c r="D5" s="11">
        <v>43966</v>
      </c>
      <c r="E5" s="11">
        <v>43969</v>
      </c>
      <c r="F5" s="31">
        <v>27782000</v>
      </c>
      <c r="G5" s="32">
        <v>0</v>
      </c>
      <c r="H5" s="8" t="s">
        <v>333</v>
      </c>
      <c r="I5" s="12">
        <v>900881350</v>
      </c>
      <c r="J5" s="13" t="s">
        <v>335</v>
      </c>
      <c r="K5" s="14">
        <v>760</v>
      </c>
      <c r="L5" s="15" t="s">
        <v>1369</v>
      </c>
      <c r="M5" s="16">
        <v>21450</v>
      </c>
      <c r="N5" s="16"/>
      <c r="O5" s="16">
        <f>K5*(M5+N5)</f>
        <v>16302000</v>
      </c>
      <c r="P5" s="14" t="s">
        <v>94</v>
      </c>
    </row>
    <row r="6" spans="1:16" x14ac:dyDescent="0.3">
      <c r="A6" s="8" t="s">
        <v>407</v>
      </c>
      <c r="B6" s="9" t="s">
        <v>452</v>
      </c>
      <c r="C6" s="10" t="s">
        <v>453</v>
      </c>
      <c r="D6" s="11">
        <v>43983</v>
      </c>
      <c r="E6" s="11">
        <v>43983</v>
      </c>
      <c r="F6" s="31">
        <v>12695000</v>
      </c>
      <c r="G6" s="32">
        <v>0</v>
      </c>
      <c r="H6" s="8" t="s">
        <v>188</v>
      </c>
      <c r="I6" s="12">
        <v>900353659</v>
      </c>
      <c r="J6" s="13" t="s">
        <v>453</v>
      </c>
      <c r="K6" s="14">
        <v>1000</v>
      </c>
      <c r="L6" s="15" t="s">
        <v>1369</v>
      </c>
      <c r="M6" s="20">
        <v>10500</v>
      </c>
      <c r="N6" s="16">
        <f>M6*0.19</f>
        <v>1995</v>
      </c>
      <c r="O6" s="16">
        <f t="shared" ref="O6" si="2">K6*(M6+N6)</f>
        <v>12495000</v>
      </c>
      <c r="P6" s="14" t="s">
        <v>94</v>
      </c>
    </row>
    <row r="7" spans="1:16" x14ac:dyDescent="0.3">
      <c r="A7" s="8" t="s">
        <v>490</v>
      </c>
      <c r="B7" s="9" t="s">
        <v>495</v>
      </c>
      <c r="C7" s="10" t="s">
        <v>496</v>
      </c>
      <c r="D7" s="11">
        <v>43971</v>
      </c>
      <c r="E7" s="11">
        <v>43972</v>
      </c>
      <c r="F7" s="31">
        <v>202984642</v>
      </c>
      <c r="G7" s="32">
        <v>0</v>
      </c>
      <c r="H7" s="8" t="s">
        <v>497</v>
      </c>
      <c r="I7" s="12">
        <v>800004711</v>
      </c>
      <c r="J7" s="13" t="s">
        <v>498</v>
      </c>
      <c r="K7" s="14">
        <f>1858*6</f>
        <v>11148</v>
      </c>
      <c r="L7" s="15" t="s">
        <v>1369</v>
      </c>
      <c r="M7" s="16">
        <f>91806/6</f>
        <v>15301</v>
      </c>
      <c r="N7" s="16">
        <f>M7*0.19</f>
        <v>2907.19</v>
      </c>
      <c r="O7" s="16">
        <f>K7*(M7+N7)</f>
        <v>202984902.11999997</v>
      </c>
      <c r="P7" s="14" t="s">
        <v>94</v>
      </c>
    </row>
    <row r="8" spans="1:16" x14ac:dyDescent="0.3">
      <c r="A8" s="8" t="s">
        <v>544</v>
      </c>
      <c r="B8" s="9" t="s">
        <v>545</v>
      </c>
      <c r="C8" s="10" t="s">
        <v>546</v>
      </c>
      <c r="D8" s="11" t="s">
        <v>547</v>
      </c>
      <c r="E8" s="11" t="s">
        <v>547</v>
      </c>
      <c r="F8" s="31">
        <v>21078782</v>
      </c>
      <c r="G8" s="32">
        <v>0</v>
      </c>
      <c r="H8" s="8" t="s">
        <v>548</v>
      </c>
      <c r="I8" s="12">
        <v>900406714</v>
      </c>
      <c r="J8" s="13" t="s">
        <v>558</v>
      </c>
      <c r="K8" s="14">
        <v>360</v>
      </c>
      <c r="L8" s="15" t="s">
        <v>1369</v>
      </c>
      <c r="M8" s="16">
        <v>15913</v>
      </c>
      <c r="N8" s="16">
        <f t="shared" ref="N8" si="3">M8*0.19</f>
        <v>3023.4700000000003</v>
      </c>
      <c r="O8" s="16">
        <f t="shared" ref="O8:O11" si="4">K8*(M8+N8)</f>
        <v>6817129.2000000002</v>
      </c>
      <c r="P8" s="14" t="s">
        <v>94</v>
      </c>
    </row>
    <row r="9" spans="1:16" x14ac:dyDescent="0.3">
      <c r="A9" s="8" t="s">
        <v>728</v>
      </c>
      <c r="B9" s="9">
        <v>1491804</v>
      </c>
      <c r="C9" s="10" t="s">
        <v>734</v>
      </c>
      <c r="D9" s="11">
        <v>43927</v>
      </c>
      <c r="E9" s="11">
        <v>43928</v>
      </c>
      <c r="F9" s="31">
        <v>82970740</v>
      </c>
      <c r="G9" s="32">
        <v>0</v>
      </c>
      <c r="H9" s="8" t="s">
        <v>735</v>
      </c>
      <c r="I9" s="12">
        <v>59311027</v>
      </c>
      <c r="J9" s="13" t="s">
        <v>740</v>
      </c>
      <c r="K9" s="14">
        <v>852</v>
      </c>
      <c r="L9" s="15" t="s">
        <v>1369</v>
      </c>
      <c r="M9" s="16">
        <v>18250</v>
      </c>
      <c r="N9" s="16">
        <v>0</v>
      </c>
      <c r="O9" s="16">
        <f t="shared" si="4"/>
        <v>15549000</v>
      </c>
      <c r="P9" s="14" t="s">
        <v>94</v>
      </c>
    </row>
    <row r="10" spans="1:16" x14ac:dyDescent="0.3">
      <c r="A10" s="8" t="s">
        <v>728</v>
      </c>
      <c r="B10" s="9">
        <v>1491804</v>
      </c>
      <c r="C10" s="10" t="s">
        <v>734</v>
      </c>
      <c r="D10" s="11">
        <v>43927</v>
      </c>
      <c r="E10" s="11">
        <v>43928</v>
      </c>
      <c r="F10" s="31">
        <v>0</v>
      </c>
      <c r="G10" s="32">
        <v>39472098</v>
      </c>
      <c r="H10" s="8" t="s">
        <v>735</v>
      </c>
      <c r="I10" s="12">
        <v>59311027</v>
      </c>
      <c r="J10" s="13" t="s">
        <v>740</v>
      </c>
      <c r="K10" s="14">
        <v>720</v>
      </c>
      <c r="L10" s="15" t="s">
        <v>1369</v>
      </c>
      <c r="M10" s="16">
        <v>18250</v>
      </c>
      <c r="N10" s="16">
        <v>0</v>
      </c>
      <c r="O10" s="16">
        <f t="shared" si="4"/>
        <v>13140000</v>
      </c>
      <c r="P10" s="14" t="s">
        <v>94</v>
      </c>
    </row>
    <row r="11" spans="1:16" x14ac:dyDescent="0.3">
      <c r="A11" s="8" t="s">
        <v>885</v>
      </c>
      <c r="B11" s="9" t="s">
        <v>927</v>
      </c>
      <c r="C11" s="17" t="s">
        <v>928</v>
      </c>
      <c r="D11" s="11">
        <v>43917</v>
      </c>
      <c r="E11" s="11">
        <v>43917</v>
      </c>
      <c r="F11" s="31">
        <v>4307800</v>
      </c>
      <c r="G11" s="32">
        <v>0</v>
      </c>
      <c r="H11" s="8" t="s">
        <v>149</v>
      </c>
      <c r="I11" s="12">
        <v>830037946</v>
      </c>
      <c r="J11" s="13" t="s">
        <v>929</v>
      </c>
      <c r="K11" s="14">
        <v>200</v>
      </c>
      <c r="L11" s="15" t="s">
        <v>1369</v>
      </c>
      <c r="M11" s="16">
        <v>21539</v>
      </c>
      <c r="N11" s="16">
        <v>0</v>
      </c>
      <c r="O11" s="16">
        <f t="shared" si="4"/>
        <v>4307800</v>
      </c>
      <c r="P11" s="14" t="s">
        <v>94</v>
      </c>
    </row>
  </sheetData>
  <dataValidations count="10">
    <dataValidation type="date" allowBlank="1" showInputMessage="1" errorTitle="Entrada no válida" error="Por favor escriba una fecha válida (AAAA/MM/DD)" promptTitle="Ingrese una fecha (AAAA/MM/DD)" prompt=" Registre la fecha en la cual se SUSCRIBIÓ la orden (Formato AAAA/MM/DD)." sqref="D2:E2 D9:E1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B4 B6:B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4 A6:A8">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E5 E7:E8 E11">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D8 D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 H6:H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 F6:F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E6">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8">
      <formula1>-999999999</formula1>
      <formula2>999999999</formula2>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J1" workbookViewId="0">
      <selection activeCell="O7" sqref="O7"/>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17</v>
      </c>
      <c r="C2" s="10" t="s">
        <v>18</v>
      </c>
      <c r="D2" s="11">
        <v>43910</v>
      </c>
      <c r="E2" s="11">
        <v>43910</v>
      </c>
      <c r="F2" s="31">
        <v>2573970</v>
      </c>
      <c r="G2" s="32">
        <v>0</v>
      </c>
      <c r="H2" s="8" t="s">
        <v>19</v>
      </c>
      <c r="I2" s="12">
        <v>901095058</v>
      </c>
      <c r="J2" s="13" t="s">
        <v>20</v>
      </c>
      <c r="K2" s="14">
        <v>100</v>
      </c>
      <c r="L2" s="15" t="s">
        <v>250</v>
      </c>
      <c r="M2" s="16">
        <v>15700</v>
      </c>
      <c r="N2" s="16">
        <f t="shared" ref="N2:N3" si="0">M2*0.19</f>
        <v>2983</v>
      </c>
      <c r="O2" s="16">
        <f t="shared" ref="O2:O4" si="1">K2*(M2+N2)</f>
        <v>1868300</v>
      </c>
      <c r="P2" s="14" t="s">
        <v>21</v>
      </c>
    </row>
    <row r="3" spans="1:16" x14ac:dyDescent="0.3">
      <c r="A3" s="8" t="s">
        <v>1289</v>
      </c>
      <c r="B3" s="9" t="s">
        <v>1290</v>
      </c>
      <c r="C3" s="17" t="s">
        <v>1291</v>
      </c>
      <c r="D3" s="11">
        <v>43908</v>
      </c>
      <c r="E3" s="11">
        <v>43908</v>
      </c>
      <c r="F3" s="31">
        <v>7176804</v>
      </c>
      <c r="G3" s="32">
        <v>0</v>
      </c>
      <c r="H3" s="8" t="s">
        <v>1292</v>
      </c>
      <c r="I3" s="12">
        <v>800031358</v>
      </c>
      <c r="J3" s="13" t="s">
        <v>1297</v>
      </c>
      <c r="K3" s="14">
        <v>100</v>
      </c>
      <c r="L3" s="18" t="s">
        <v>250</v>
      </c>
      <c r="M3" s="16">
        <v>13345.000000000002</v>
      </c>
      <c r="N3" s="16">
        <f t="shared" si="0"/>
        <v>2535.5500000000002</v>
      </c>
      <c r="O3" s="16">
        <f t="shared" si="1"/>
        <v>1588055.0000000002</v>
      </c>
      <c r="P3" s="19" t="s">
        <v>21</v>
      </c>
    </row>
    <row r="4" spans="1:16" x14ac:dyDescent="0.3">
      <c r="A4" s="8" t="s">
        <v>86</v>
      </c>
      <c r="B4" s="9" t="s">
        <v>119</v>
      </c>
      <c r="C4" s="10" t="s">
        <v>120</v>
      </c>
      <c r="D4" s="11">
        <v>43978</v>
      </c>
      <c r="E4" s="11">
        <v>43980</v>
      </c>
      <c r="F4" s="31">
        <v>418175000</v>
      </c>
      <c r="G4" s="32">
        <v>0</v>
      </c>
      <c r="H4" s="8" t="s">
        <v>121</v>
      </c>
      <c r="I4" s="12">
        <v>900053297</v>
      </c>
      <c r="J4" s="13" t="s">
        <v>124</v>
      </c>
      <c r="K4" s="14">
        <v>100</v>
      </c>
      <c r="L4" s="15" t="s">
        <v>250</v>
      </c>
      <c r="M4" s="16">
        <v>34900</v>
      </c>
      <c r="N4" s="16">
        <v>0</v>
      </c>
      <c r="O4" s="16">
        <f t="shared" si="1"/>
        <v>3490000</v>
      </c>
      <c r="P4" s="14" t="s">
        <v>21</v>
      </c>
    </row>
    <row r="5" spans="1:16" x14ac:dyDescent="0.3">
      <c r="A5" s="8" t="s">
        <v>153</v>
      </c>
      <c r="B5" s="9" t="s">
        <v>154</v>
      </c>
      <c r="C5" s="10" t="s">
        <v>155</v>
      </c>
      <c r="D5" s="11">
        <v>43907</v>
      </c>
      <c r="E5" s="11">
        <v>43908</v>
      </c>
      <c r="F5" s="31">
        <v>25281431</v>
      </c>
      <c r="G5" s="32">
        <v>0</v>
      </c>
      <c r="H5" s="8" t="s">
        <v>19</v>
      </c>
      <c r="I5" s="12">
        <v>901095058</v>
      </c>
      <c r="J5" s="13" t="s">
        <v>156</v>
      </c>
      <c r="K5" s="14">
        <v>1350</v>
      </c>
      <c r="L5" s="15" t="s">
        <v>250</v>
      </c>
      <c r="M5" s="16">
        <v>15374</v>
      </c>
      <c r="N5" s="16">
        <f>M5*0.19</f>
        <v>2921.06</v>
      </c>
      <c r="O5" s="16">
        <f>K5*(M5+N5)</f>
        <v>24698331</v>
      </c>
      <c r="P5" s="14" t="s">
        <v>21</v>
      </c>
    </row>
    <row r="6" spans="1:16" x14ac:dyDescent="0.3">
      <c r="A6" s="8" t="s">
        <v>252</v>
      </c>
      <c r="B6" s="9" t="s">
        <v>257</v>
      </c>
      <c r="C6" s="10" t="s">
        <v>264</v>
      </c>
      <c r="D6" s="11">
        <v>43916</v>
      </c>
      <c r="E6" s="11">
        <v>43917</v>
      </c>
      <c r="F6" s="31">
        <v>21397390</v>
      </c>
      <c r="G6" s="32">
        <v>0</v>
      </c>
      <c r="H6" s="8" t="s">
        <v>259</v>
      </c>
      <c r="I6" s="12">
        <v>901165706</v>
      </c>
      <c r="J6" s="13" t="s">
        <v>265</v>
      </c>
      <c r="K6" s="14">
        <v>100</v>
      </c>
      <c r="L6" s="15" t="s">
        <v>250</v>
      </c>
      <c r="M6" s="16">
        <v>37000</v>
      </c>
      <c r="N6" s="16">
        <v>7030</v>
      </c>
      <c r="O6" s="16">
        <f t="shared" ref="O6" si="2">K6*(M6+N6)</f>
        <v>4403000</v>
      </c>
      <c r="P6" s="14" t="s">
        <v>21</v>
      </c>
    </row>
    <row r="7" spans="1:16" x14ac:dyDescent="0.3">
      <c r="A7" s="8" t="s">
        <v>320</v>
      </c>
      <c r="B7" s="9" t="s">
        <v>321</v>
      </c>
      <c r="C7" s="10" t="s">
        <v>322</v>
      </c>
      <c r="D7" s="11">
        <v>43909</v>
      </c>
      <c r="E7" s="11">
        <v>43909</v>
      </c>
      <c r="F7" s="31">
        <v>14411127</v>
      </c>
      <c r="G7" s="32">
        <v>0</v>
      </c>
      <c r="H7" s="8" t="s">
        <v>323</v>
      </c>
      <c r="I7" s="12">
        <v>901095058</v>
      </c>
      <c r="J7" s="13" t="s">
        <v>324</v>
      </c>
      <c r="K7" s="14">
        <v>815</v>
      </c>
      <c r="L7" s="15" t="s">
        <v>250</v>
      </c>
      <c r="M7" s="16">
        <v>15309</v>
      </c>
      <c r="N7" s="16">
        <f>M7*0.19</f>
        <v>2908.71</v>
      </c>
      <c r="O7" s="16">
        <f>(665*(M7+N7))+(150*(M7))</f>
        <v>14411127.149999999</v>
      </c>
      <c r="P7" s="14" t="s">
        <v>21</v>
      </c>
    </row>
    <row r="8" spans="1:16" x14ac:dyDescent="0.3">
      <c r="A8" s="8" t="s">
        <v>387</v>
      </c>
      <c r="B8" s="9" t="s">
        <v>388</v>
      </c>
      <c r="C8" s="10" t="s">
        <v>389</v>
      </c>
      <c r="D8" s="11">
        <v>43917</v>
      </c>
      <c r="E8" s="11">
        <v>43917</v>
      </c>
      <c r="F8" s="31">
        <v>4000000</v>
      </c>
      <c r="G8" s="32">
        <v>0</v>
      </c>
      <c r="H8" s="8" t="s">
        <v>390</v>
      </c>
      <c r="I8" s="12">
        <v>813005241</v>
      </c>
      <c r="J8" s="13" t="s">
        <v>391</v>
      </c>
      <c r="K8" s="14">
        <v>200</v>
      </c>
      <c r="L8" s="15" t="s">
        <v>250</v>
      </c>
      <c r="M8" s="16">
        <v>16806.72</v>
      </c>
      <c r="N8" s="16">
        <f>M8*0.19</f>
        <v>3193.2768000000001</v>
      </c>
      <c r="O8" s="16">
        <f>K8*(M8+N8)</f>
        <v>3999999.3600000003</v>
      </c>
      <c r="P8" s="14" t="s">
        <v>21</v>
      </c>
    </row>
    <row r="9" spans="1:16" x14ac:dyDescent="0.3">
      <c r="A9" s="8" t="s">
        <v>407</v>
      </c>
      <c r="B9" s="9" t="s">
        <v>408</v>
      </c>
      <c r="C9" s="10" t="s">
        <v>1220</v>
      </c>
      <c r="D9" s="11">
        <v>43910</v>
      </c>
      <c r="E9" s="11">
        <v>43910</v>
      </c>
      <c r="F9" s="31">
        <v>3689000</v>
      </c>
      <c r="G9" s="32">
        <v>0</v>
      </c>
      <c r="H9" s="8" t="s">
        <v>409</v>
      </c>
      <c r="I9" s="12">
        <v>901095058</v>
      </c>
      <c r="J9" s="13" t="s">
        <v>410</v>
      </c>
      <c r="K9" s="14">
        <v>200</v>
      </c>
      <c r="L9" s="15" t="s">
        <v>250</v>
      </c>
      <c r="M9" s="16">
        <v>15500</v>
      </c>
      <c r="N9" s="16">
        <f t="shared" ref="N9:N13" si="3">M9*0.19</f>
        <v>2945</v>
      </c>
      <c r="O9" s="16">
        <f t="shared" ref="O9:O15" si="4">K9*(M9+N9)</f>
        <v>3689000</v>
      </c>
      <c r="P9" s="14" t="s">
        <v>21</v>
      </c>
    </row>
    <row r="10" spans="1:16" x14ac:dyDescent="0.3">
      <c r="A10" s="8" t="s">
        <v>407</v>
      </c>
      <c r="B10" s="9" t="s">
        <v>415</v>
      </c>
      <c r="C10" s="10" t="s">
        <v>1222</v>
      </c>
      <c r="D10" s="11">
        <v>43923</v>
      </c>
      <c r="E10" s="11">
        <v>43923</v>
      </c>
      <c r="F10" s="31">
        <v>4307800</v>
      </c>
      <c r="G10" s="32">
        <v>0</v>
      </c>
      <c r="H10" s="8" t="s">
        <v>409</v>
      </c>
      <c r="I10" s="12">
        <v>901095058</v>
      </c>
      <c r="J10" s="13" t="s">
        <v>416</v>
      </c>
      <c r="K10" s="14">
        <v>100</v>
      </c>
      <c r="L10" s="15" t="s">
        <v>250</v>
      </c>
      <c r="M10" s="16">
        <v>35000</v>
      </c>
      <c r="N10" s="16">
        <f t="shared" si="3"/>
        <v>6650</v>
      </c>
      <c r="O10" s="16">
        <f t="shared" si="4"/>
        <v>4165000</v>
      </c>
      <c r="P10" s="14" t="s">
        <v>21</v>
      </c>
    </row>
    <row r="11" spans="1:16" x14ac:dyDescent="0.3">
      <c r="A11" s="8" t="s">
        <v>544</v>
      </c>
      <c r="B11" s="9" t="s">
        <v>545</v>
      </c>
      <c r="C11" s="10" t="s">
        <v>546</v>
      </c>
      <c r="D11" s="11" t="s">
        <v>547</v>
      </c>
      <c r="E11" s="11" t="s">
        <v>547</v>
      </c>
      <c r="F11" s="31">
        <v>21078782</v>
      </c>
      <c r="G11" s="32">
        <v>0</v>
      </c>
      <c r="H11" s="8" t="s">
        <v>548</v>
      </c>
      <c r="I11" s="12">
        <v>900406714</v>
      </c>
      <c r="J11" s="13" t="s">
        <v>562</v>
      </c>
      <c r="K11" s="14">
        <v>300</v>
      </c>
      <c r="L11" s="15" t="s">
        <v>250</v>
      </c>
      <c r="M11" s="16">
        <v>10650</v>
      </c>
      <c r="N11" s="16">
        <f t="shared" si="3"/>
        <v>2023.5</v>
      </c>
      <c r="O11" s="16">
        <f t="shared" si="4"/>
        <v>3802050</v>
      </c>
      <c r="P11" s="14" t="s">
        <v>21</v>
      </c>
    </row>
    <row r="12" spans="1:16" x14ac:dyDescent="0.3">
      <c r="A12" s="8" t="s">
        <v>544</v>
      </c>
      <c r="B12" s="9" t="s">
        <v>579</v>
      </c>
      <c r="C12" s="10" t="s">
        <v>564</v>
      </c>
      <c r="D12" s="11">
        <v>43938</v>
      </c>
      <c r="E12" s="11">
        <v>43938</v>
      </c>
      <c r="F12" s="31">
        <v>12500000</v>
      </c>
      <c r="G12" s="32">
        <v>0</v>
      </c>
      <c r="H12" s="8" t="s">
        <v>580</v>
      </c>
      <c r="I12" s="12">
        <v>901212927</v>
      </c>
      <c r="J12" s="13" t="s">
        <v>581</v>
      </c>
      <c r="K12" s="14">
        <v>500</v>
      </c>
      <c r="L12" s="15" t="s">
        <v>250</v>
      </c>
      <c r="M12" s="16">
        <v>21008.403399999999</v>
      </c>
      <c r="N12" s="16">
        <f t="shared" si="3"/>
        <v>3991.596646</v>
      </c>
      <c r="O12" s="16">
        <f t="shared" si="4"/>
        <v>12500000.023</v>
      </c>
      <c r="P12" s="14" t="s">
        <v>21</v>
      </c>
    </row>
    <row r="13" spans="1:16" x14ac:dyDescent="0.3">
      <c r="A13" s="8" t="s">
        <v>623</v>
      </c>
      <c r="B13" s="9" t="s">
        <v>624</v>
      </c>
      <c r="C13" s="10" t="s">
        <v>625</v>
      </c>
      <c r="D13" s="11">
        <v>43909</v>
      </c>
      <c r="E13" s="11">
        <v>43915</v>
      </c>
      <c r="F13" s="31">
        <v>92450981</v>
      </c>
      <c r="G13" s="32">
        <v>0</v>
      </c>
      <c r="H13" s="8" t="s">
        <v>626</v>
      </c>
      <c r="I13" s="12">
        <v>813005241</v>
      </c>
      <c r="J13" s="13" t="s">
        <v>627</v>
      </c>
      <c r="K13" s="14">
        <v>400</v>
      </c>
      <c r="L13" s="15" t="s">
        <v>250</v>
      </c>
      <c r="M13" s="16">
        <v>16807</v>
      </c>
      <c r="N13" s="16">
        <f t="shared" si="3"/>
        <v>3193.33</v>
      </c>
      <c r="O13" s="16">
        <f t="shared" si="4"/>
        <v>8000132.0000000009</v>
      </c>
      <c r="P13" s="14" t="s">
        <v>21</v>
      </c>
    </row>
    <row r="14" spans="1:16" x14ac:dyDescent="0.3">
      <c r="A14" s="8" t="s">
        <v>728</v>
      </c>
      <c r="B14" s="9">
        <v>1483604</v>
      </c>
      <c r="C14" s="10" t="s">
        <v>729</v>
      </c>
      <c r="D14" s="11">
        <v>43922</v>
      </c>
      <c r="E14" s="11">
        <v>43923</v>
      </c>
      <c r="F14" s="31">
        <v>36816642</v>
      </c>
      <c r="G14" s="32">
        <v>0</v>
      </c>
      <c r="H14" s="8" t="s">
        <v>730</v>
      </c>
      <c r="I14" s="12">
        <v>860054854</v>
      </c>
      <c r="J14" s="13" t="s">
        <v>732</v>
      </c>
      <c r="K14" s="14">
        <v>1325</v>
      </c>
      <c r="L14" s="15" t="s">
        <v>250</v>
      </c>
      <c r="M14" s="16">
        <v>22146</v>
      </c>
      <c r="N14" s="16">
        <v>0</v>
      </c>
      <c r="O14" s="16">
        <f t="shared" si="4"/>
        <v>29343450</v>
      </c>
      <c r="P14" s="14" t="s">
        <v>21</v>
      </c>
    </row>
    <row r="15" spans="1:16" x14ac:dyDescent="0.3">
      <c r="A15" s="8" t="s">
        <v>1231</v>
      </c>
      <c r="B15" s="9" t="s">
        <v>1232</v>
      </c>
      <c r="C15" s="17" t="s">
        <v>1233</v>
      </c>
      <c r="D15" s="11">
        <v>43915</v>
      </c>
      <c r="E15" s="11">
        <v>43916</v>
      </c>
      <c r="F15" s="31">
        <v>79231499</v>
      </c>
      <c r="G15" s="32">
        <v>0</v>
      </c>
      <c r="H15" s="8" t="s">
        <v>1234</v>
      </c>
      <c r="I15" s="12">
        <v>900916649</v>
      </c>
      <c r="J15" s="13" t="s">
        <v>1238</v>
      </c>
      <c r="K15" s="14">
        <v>100</v>
      </c>
      <c r="L15" s="15" t="s">
        <v>250</v>
      </c>
      <c r="M15" s="16">
        <v>21000</v>
      </c>
      <c r="N15" s="16">
        <f>M15*0.19</f>
        <v>3990</v>
      </c>
      <c r="O15" s="16">
        <f t="shared" si="4"/>
        <v>2499000</v>
      </c>
      <c r="P15" s="19" t="s">
        <v>21</v>
      </c>
    </row>
    <row r="16" spans="1:16" x14ac:dyDescent="0.3">
      <c r="A16" s="8" t="s">
        <v>885</v>
      </c>
      <c r="B16" s="9" t="s">
        <v>923</v>
      </c>
      <c r="C16" s="17" t="s">
        <v>916</v>
      </c>
      <c r="D16" s="11">
        <v>43924</v>
      </c>
      <c r="E16" s="11">
        <v>43925</v>
      </c>
      <c r="F16" s="31">
        <v>3050000</v>
      </c>
      <c r="G16" s="32">
        <v>0</v>
      </c>
      <c r="H16" s="8" t="s">
        <v>924</v>
      </c>
      <c r="I16" s="12">
        <v>901285199</v>
      </c>
      <c r="J16" s="13" t="s">
        <v>925</v>
      </c>
      <c r="K16" s="14">
        <v>100</v>
      </c>
      <c r="L16" s="15" t="s">
        <v>250</v>
      </c>
      <c r="M16" s="16">
        <v>15126</v>
      </c>
      <c r="N16" s="16">
        <f>M16*0.19</f>
        <v>2873.94</v>
      </c>
      <c r="O16" s="16">
        <f>K16*(M16+N16)+6</f>
        <v>1799999.9999999998</v>
      </c>
      <c r="P16" s="19" t="s">
        <v>21</v>
      </c>
    </row>
    <row r="17" spans="1:16" x14ac:dyDescent="0.3">
      <c r="A17" s="8" t="s">
        <v>959</v>
      </c>
      <c r="B17" s="9">
        <v>35</v>
      </c>
      <c r="C17" s="10" t="s">
        <v>960</v>
      </c>
      <c r="D17" s="11">
        <v>43477</v>
      </c>
      <c r="E17" s="11">
        <v>43800</v>
      </c>
      <c r="F17" s="31">
        <v>0</v>
      </c>
      <c r="G17" s="32">
        <v>67434392</v>
      </c>
      <c r="H17" s="8" t="s">
        <v>961</v>
      </c>
      <c r="I17" s="12">
        <v>811044253</v>
      </c>
      <c r="J17" s="13" t="s">
        <v>973</v>
      </c>
      <c r="K17" s="14">
        <v>100</v>
      </c>
      <c r="L17" s="15" t="s">
        <v>250</v>
      </c>
      <c r="M17" s="16">
        <v>27000</v>
      </c>
      <c r="N17" s="16">
        <v>0</v>
      </c>
      <c r="O17" s="16">
        <f t="shared" ref="O17:O22" si="5">K17*(M17+N17)</f>
        <v>2700000</v>
      </c>
      <c r="P17" s="19" t="s">
        <v>21</v>
      </c>
    </row>
    <row r="18" spans="1:16" x14ac:dyDescent="0.3">
      <c r="A18" s="8" t="s">
        <v>976</v>
      </c>
      <c r="B18" s="9" t="s">
        <v>977</v>
      </c>
      <c r="C18" s="10" t="s">
        <v>978</v>
      </c>
      <c r="D18" s="11">
        <v>43914</v>
      </c>
      <c r="E18" s="11">
        <v>43914</v>
      </c>
      <c r="F18" s="31">
        <v>19313663</v>
      </c>
      <c r="G18" s="32">
        <v>0</v>
      </c>
      <c r="H18" s="8" t="s">
        <v>979</v>
      </c>
      <c r="I18" s="12">
        <v>92511814</v>
      </c>
      <c r="J18" s="13" t="s">
        <v>980</v>
      </c>
      <c r="K18" s="14">
        <v>229</v>
      </c>
      <c r="L18" s="15" t="s">
        <v>250</v>
      </c>
      <c r="M18" s="16">
        <v>34061</v>
      </c>
      <c r="N18" s="16">
        <f>M18*0.19</f>
        <v>6471.59</v>
      </c>
      <c r="O18" s="16">
        <f t="shared" si="5"/>
        <v>9281963.1099999994</v>
      </c>
      <c r="P18" s="14" t="s">
        <v>21</v>
      </c>
    </row>
    <row r="19" spans="1:16" x14ac:dyDescent="0.3">
      <c r="A19" s="8" t="s">
        <v>976</v>
      </c>
      <c r="B19" s="9" t="s">
        <v>982</v>
      </c>
      <c r="C19" s="10" t="s">
        <v>978</v>
      </c>
      <c r="D19" s="11">
        <v>43914</v>
      </c>
      <c r="E19" s="11">
        <v>43914</v>
      </c>
      <c r="F19" s="31">
        <v>0</v>
      </c>
      <c r="G19" s="32">
        <v>4134324</v>
      </c>
      <c r="H19" s="8" t="s">
        <v>979</v>
      </c>
      <c r="I19" s="12">
        <v>92511814</v>
      </c>
      <c r="J19" s="13" t="s">
        <v>980</v>
      </c>
      <c r="K19" s="14">
        <v>102</v>
      </c>
      <c r="L19" s="15" t="s">
        <v>250</v>
      </c>
      <c r="M19" s="16">
        <v>34061</v>
      </c>
      <c r="N19" s="16">
        <f>M19*0.19</f>
        <v>6471.59</v>
      </c>
      <c r="O19" s="16">
        <f t="shared" si="5"/>
        <v>4134324.1799999997</v>
      </c>
      <c r="P19" s="14" t="s">
        <v>21</v>
      </c>
    </row>
    <row r="20" spans="1:16" x14ac:dyDescent="0.3">
      <c r="A20" s="8" t="s">
        <v>1055</v>
      </c>
      <c r="B20" s="9" t="s">
        <v>1056</v>
      </c>
      <c r="C20" s="10" t="s">
        <v>1057</v>
      </c>
      <c r="D20" s="11">
        <v>43908</v>
      </c>
      <c r="E20" s="11">
        <v>43908</v>
      </c>
      <c r="F20" s="31">
        <v>11223366</v>
      </c>
      <c r="G20" s="32">
        <v>0</v>
      </c>
      <c r="H20" s="8" t="s">
        <v>19</v>
      </c>
      <c r="I20" s="12">
        <v>901095058</v>
      </c>
      <c r="J20" s="13" t="s">
        <v>1058</v>
      </c>
      <c r="K20" s="14">
        <v>300</v>
      </c>
      <c r="L20" s="15" t="s">
        <v>250</v>
      </c>
      <c r="M20" s="16">
        <v>15000</v>
      </c>
      <c r="N20" s="16">
        <f t="shared" ref="N20" si="6">M20*0.19</f>
        <v>2850</v>
      </c>
      <c r="O20" s="16">
        <f t="shared" si="5"/>
        <v>5355000</v>
      </c>
      <c r="P20" s="14" t="s">
        <v>21</v>
      </c>
    </row>
    <row r="21" spans="1:16" x14ac:dyDescent="0.3">
      <c r="A21" s="8" t="s">
        <v>1115</v>
      </c>
      <c r="B21" s="9">
        <v>1</v>
      </c>
      <c r="C21" s="10" t="s">
        <v>1116</v>
      </c>
      <c r="D21" s="11">
        <v>43928</v>
      </c>
      <c r="E21" s="11">
        <v>43936</v>
      </c>
      <c r="F21" s="31">
        <v>4522000</v>
      </c>
      <c r="G21" s="32">
        <v>0</v>
      </c>
      <c r="H21" s="8" t="s">
        <v>1117</v>
      </c>
      <c r="I21" s="12">
        <v>901095058</v>
      </c>
      <c r="J21" s="13" t="s">
        <v>1118</v>
      </c>
      <c r="K21" s="14">
        <v>200</v>
      </c>
      <c r="L21" s="15" t="s">
        <v>250</v>
      </c>
      <c r="M21" s="16">
        <v>19000</v>
      </c>
      <c r="N21" s="16">
        <f>M21*0.19</f>
        <v>3610</v>
      </c>
      <c r="O21" s="16">
        <f t="shared" si="5"/>
        <v>4522000</v>
      </c>
      <c r="P21" s="19" t="s">
        <v>21</v>
      </c>
    </row>
    <row r="22" spans="1:16" x14ac:dyDescent="0.3">
      <c r="A22" s="8" t="s">
        <v>1161</v>
      </c>
      <c r="B22" s="9" t="s">
        <v>1167</v>
      </c>
      <c r="C22" s="10" t="s">
        <v>1168</v>
      </c>
      <c r="D22" s="11">
        <v>43917</v>
      </c>
      <c r="E22" s="11">
        <v>43917</v>
      </c>
      <c r="F22" s="31">
        <v>3918700</v>
      </c>
      <c r="G22" s="32">
        <v>0</v>
      </c>
      <c r="H22" s="8" t="s">
        <v>1169</v>
      </c>
      <c r="I22" s="12">
        <v>900769393</v>
      </c>
      <c r="J22" s="13" t="s">
        <v>1170</v>
      </c>
      <c r="K22" s="14">
        <v>162</v>
      </c>
      <c r="L22" s="15" t="s">
        <v>250</v>
      </c>
      <c r="M22" s="16">
        <v>18151</v>
      </c>
      <c r="N22" s="16">
        <f>M22*0.19</f>
        <v>3448.69</v>
      </c>
      <c r="O22" s="16">
        <f t="shared" si="5"/>
        <v>3499149.78</v>
      </c>
      <c r="P22" s="14" t="s">
        <v>21</v>
      </c>
    </row>
  </sheetData>
  <dataValidations count="12">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3 A2:B3 E5:E7 E12 E16:E18 D22:I22 A22:B2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H6 H8 H12:H13 H15 H17:H19 H21">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I5 I7 I15 I17:I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10 A12:A13 A15 A17:A1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F6 F12 F17:F19 F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B6 B8 B11:B13 B17:B1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D6 D11:D12 D16:D19 E1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8 D13:E15 D21:E2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9:G10 G17: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3 F15 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1">
      <formula1>-99999999999</formula1>
      <formula2>99999999999</formula2>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H1" workbookViewId="0">
      <selection activeCell="J13" sqref="J1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37</v>
      </c>
      <c r="C2" s="10" t="s">
        <v>38</v>
      </c>
      <c r="D2" s="11">
        <v>43999</v>
      </c>
      <c r="E2" s="11">
        <v>43999</v>
      </c>
      <c r="F2" s="31">
        <v>42000000</v>
      </c>
      <c r="G2" s="32">
        <v>0</v>
      </c>
      <c r="H2" s="8" t="s">
        <v>39</v>
      </c>
      <c r="I2" s="12">
        <v>890000547</v>
      </c>
      <c r="J2" s="13" t="s">
        <v>1425</v>
      </c>
      <c r="K2" s="14">
        <v>6</v>
      </c>
      <c r="L2" s="15" t="s">
        <v>1281</v>
      </c>
      <c r="M2" s="16">
        <v>2000000</v>
      </c>
      <c r="N2" s="16">
        <v>0</v>
      </c>
      <c r="O2" s="16">
        <f>K2*(M2+N2)*3.5</f>
        <v>42000000</v>
      </c>
      <c r="P2" s="14" t="s">
        <v>1282</v>
      </c>
    </row>
    <row r="3" spans="1:16" x14ac:dyDescent="0.3">
      <c r="A3" s="8" t="s">
        <v>1289</v>
      </c>
      <c r="B3" s="9" t="s">
        <v>307</v>
      </c>
      <c r="C3" s="17" t="s">
        <v>1320</v>
      </c>
      <c r="D3" s="11">
        <v>44013</v>
      </c>
      <c r="E3" s="11">
        <v>44013</v>
      </c>
      <c r="F3" s="31">
        <v>43680000</v>
      </c>
      <c r="G3" s="32">
        <v>0</v>
      </c>
      <c r="H3" s="8" t="s">
        <v>1321</v>
      </c>
      <c r="I3" s="12">
        <v>900008801</v>
      </c>
      <c r="J3" s="13" t="s">
        <v>1496</v>
      </c>
      <c r="K3" s="14">
        <v>7</v>
      </c>
      <c r="L3" s="15" t="s">
        <v>1281</v>
      </c>
      <c r="M3" s="16">
        <v>1310924.3697478992</v>
      </c>
      <c r="N3" s="16">
        <f>M3*0.19</f>
        <v>249075.63025210085</v>
      </c>
      <c r="O3" s="16">
        <f>K3*(M3+N3)*4</f>
        <v>43680000</v>
      </c>
      <c r="P3" s="14" t="s">
        <v>1282</v>
      </c>
    </row>
    <row r="4" spans="1:16" x14ac:dyDescent="0.3">
      <c r="A4" s="8" t="s">
        <v>153</v>
      </c>
      <c r="B4" s="9" t="s">
        <v>240</v>
      </c>
      <c r="C4" s="10" t="s">
        <v>241</v>
      </c>
      <c r="D4" s="11">
        <v>43999</v>
      </c>
      <c r="E4" s="11">
        <v>44001</v>
      </c>
      <c r="F4" s="31">
        <v>206400000</v>
      </c>
      <c r="G4" s="32">
        <v>0</v>
      </c>
      <c r="H4" s="8" t="s">
        <v>242</v>
      </c>
      <c r="I4" s="12">
        <v>890209025</v>
      </c>
      <c r="J4" s="13" t="s">
        <v>1497</v>
      </c>
      <c r="K4" s="14">
        <v>12</v>
      </c>
      <c r="L4" s="15" t="s">
        <v>1281</v>
      </c>
      <c r="M4" s="16">
        <v>2400000</v>
      </c>
      <c r="N4" s="16">
        <v>0</v>
      </c>
      <c r="O4" s="16">
        <f t="shared" ref="O4:O5" si="0">K4*(M4+N4)</f>
        <v>28800000</v>
      </c>
      <c r="P4" s="14" t="s">
        <v>1282</v>
      </c>
    </row>
    <row r="5" spans="1:16" x14ac:dyDescent="0.3">
      <c r="A5" s="8" t="s">
        <v>153</v>
      </c>
      <c r="B5" s="9" t="s">
        <v>240</v>
      </c>
      <c r="C5" s="10" t="s">
        <v>241</v>
      </c>
      <c r="D5" s="11">
        <v>43999</v>
      </c>
      <c r="E5" s="11">
        <v>44001</v>
      </c>
      <c r="F5" s="31">
        <v>206400000</v>
      </c>
      <c r="G5" s="32">
        <v>0</v>
      </c>
      <c r="H5" s="8" t="s">
        <v>242</v>
      </c>
      <c r="I5" s="12">
        <v>890209025</v>
      </c>
      <c r="J5" s="13" t="s">
        <v>1498</v>
      </c>
      <c r="K5" s="14">
        <v>12</v>
      </c>
      <c r="L5" s="15" t="s">
        <v>1281</v>
      </c>
      <c r="M5" s="16">
        <v>1900000</v>
      </c>
      <c r="N5" s="16">
        <v>0</v>
      </c>
      <c r="O5" s="16">
        <f t="shared" si="0"/>
        <v>22800000</v>
      </c>
      <c r="P5" s="14" t="s">
        <v>1282</v>
      </c>
    </row>
    <row r="6" spans="1:16" x14ac:dyDescent="0.3">
      <c r="A6" s="8" t="s">
        <v>252</v>
      </c>
      <c r="B6" s="9" t="s">
        <v>303</v>
      </c>
      <c r="C6" s="10" t="s">
        <v>304</v>
      </c>
      <c r="D6" s="11">
        <v>44006</v>
      </c>
      <c r="E6" s="11">
        <v>44012</v>
      </c>
      <c r="F6" s="31">
        <v>310500000</v>
      </c>
      <c r="G6" s="32">
        <v>0</v>
      </c>
      <c r="H6" s="8" t="s">
        <v>305</v>
      </c>
      <c r="I6" s="12">
        <v>900063271</v>
      </c>
      <c r="J6" s="13" t="s">
        <v>306</v>
      </c>
      <c r="K6" s="14">
        <v>23</v>
      </c>
      <c r="L6" s="15" t="s">
        <v>1281</v>
      </c>
      <c r="M6" s="16">
        <v>2250000</v>
      </c>
      <c r="N6" s="16">
        <v>0</v>
      </c>
      <c r="O6" s="16">
        <f>K6*(M6+N6)*6</f>
        <v>310500000</v>
      </c>
      <c r="P6" s="14" t="s">
        <v>1282</v>
      </c>
    </row>
    <row r="7" spans="1:16" x14ac:dyDescent="0.3">
      <c r="A7" s="8" t="s">
        <v>1322</v>
      </c>
      <c r="B7" s="9" t="s">
        <v>1359</v>
      </c>
      <c r="C7" s="17" t="s">
        <v>1360</v>
      </c>
      <c r="D7" s="11">
        <v>44006</v>
      </c>
      <c r="E7" s="11">
        <v>44005</v>
      </c>
      <c r="F7" s="31">
        <v>87606036</v>
      </c>
      <c r="G7" s="32">
        <v>0</v>
      </c>
      <c r="H7" s="8" t="s">
        <v>1361</v>
      </c>
      <c r="I7" s="12">
        <v>807003817</v>
      </c>
      <c r="J7" s="13" t="s">
        <v>1426</v>
      </c>
      <c r="K7" s="14">
        <v>18</v>
      </c>
      <c r="L7" s="15" t="s">
        <v>1281</v>
      </c>
      <c r="M7" s="16">
        <v>1622334</v>
      </c>
      <c r="N7" s="16">
        <v>0</v>
      </c>
      <c r="O7" s="16">
        <f>K7*(M7+N7)*3</f>
        <v>87606036</v>
      </c>
      <c r="P7" s="19" t="s">
        <v>1282</v>
      </c>
    </row>
    <row r="8" spans="1:16" x14ac:dyDescent="0.3">
      <c r="A8" s="8" t="s">
        <v>387</v>
      </c>
      <c r="B8" s="9" t="s">
        <v>405</v>
      </c>
      <c r="C8" s="10" t="s">
        <v>1219</v>
      </c>
      <c r="D8" s="11">
        <v>44005</v>
      </c>
      <c r="E8" s="11">
        <v>44006</v>
      </c>
      <c r="F8" s="31">
        <v>83500000</v>
      </c>
      <c r="G8" s="32">
        <v>0</v>
      </c>
      <c r="H8" s="8" t="s">
        <v>406</v>
      </c>
      <c r="I8" s="12">
        <v>890701338</v>
      </c>
      <c r="J8" s="13" t="s">
        <v>1424</v>
      </c>
      <c r="K8" s="14">
        <v>13</v>
      </c>
      <c r="L8" s="15" t="s">
        <v>1281</v>
      </c>
      <c r="M8" s="16">
        <f>27833333/13</f>
        <v>2141025.6153846155</v>
      </c>
      <c r="N8" s="16">
        <v>0</v>
      </c>
      <c r="O8" s="16">
        <f>K8*(M8+N8)*3</f>
        <v>83499999</v>
      </c>
      <c r="P8" s="14" t="s">
        <v>1282</v>
      </c>
    </row>
    <row r="9" spans="1:16" x14ac:dyDescent="0.3">
      <c r="A9" s="8" t="s">
        <v>407</v>
      </c>
      <c r="B9" s="9" t="s">
        <v>472</v>
      </c>
      <c r="C9" s="10" t="s">
        <v>474</v>
      </c>
      <c r="D9" s="11">
        <v>43999</v>
      </c>
      <c r="E9" s="11">
        <v>44005</v>
      </c>
      <c r="F9" s="31">
        <v>66538000</v>
      </c>
      <c r="G9" s="32">
        <v>0</v>
      </c>
      <c r="H9" s="8" t="s">
        <v>473</v>
      </c>
      <c r="I9" s="12">
        <v>890801201</v>
      </c>
      <c r="J9" s="13" t="s">
        <v>1429</v>
      </c>
      <c r="K9" s="14">
        <v>10</v>
      </c>
      <c r="L9" s="15" t="s">
        <v>1281</v>
      </c>
      <c r="M9" s="16">
        <v>2217933</v>
      </c>
      <c r="N9" s="16">
        <v>0</v>
      </c>
      <c r="O9" s="16">
        <f>K9*(M9+N9)*3</f>
        <v>66537990</v>
      </c>
      <c r="P9" s="14" t="s">
        <v>1282</v>
      </c>
    </row>
    <row r="10" spans="1:16" x14ac:dyDescent="0.3">
      <c r="A10" s="8" t="s">
        <v>544</v>
      </c>
      <c r="B10" s="9" t="s">
        <v>609</v>
      </c>
      <c r="C10" s="10" t="s">
        <v>610</v>
      </c>
      <c r="D10" s="11">
        <v>43998</v>
      </c>
      <c r="E10" s="11">
        <v>43998</v>
      </c>
      <c r="F10" s="31">
        <v>139955340</v>
      </c>
      <c r="G10" s="32">
        <v>0</v>
      </c>
      <c r="H10" s="8" t="s">
        <v>611</v>
      </c>
      <c r="I10" s="12">
        <v>812002952</v>
      </c>
      <c r="J10" s="13" t="s">
        <v>1428</v>
      </c>
      <c r="K10" s="14">
        <v>14</v>
      </c>
      <c r="L10" s="15" t="s">
        <v>1281</v>
      </c>
      <c r="M10" s="16">
        <v>1666135</v>
      </c>
      <c r="N10" s="16">
        <v>0</v>
      </c>
      <c r="O10" s="16">
        <f>K10*(M10+N10)*6</f>
        <v>139955340</v>
      </c>
      <c r="P10" s="14" t="s">
        <v>1282</v>
      </c>
    </row>
    <row r="11" spans="1:16" x14ac:dyDescent="0.3">
      <c r="A11" s="8" t="s">
        <v>623</v>
      </c>
      <c r="B11" s="9" t="s">
        <v>689</v>
      </c>
      <c r="C11" s="10" t="s">
        <v>690</v>
      </c>
      <c r="D11" s="11">
        <v>44008</v>
      </c>
      <c r="E11" s="11">
        <v>44013</v>
      </c>
      <c r="F11" s="31">
        <v>85748768</v>
      </c>
      <c r="G11" s="32">
        <v>0</v>
      </c>
      <c r="H11" s="8" t="s">
        <v>691</v>
      </c>
      <c r="I11" s="12">
        <v>900402861</v>
      </c>
      <c r="J11" s="13" t="s">
        <v>1430</v>
      </c>
      <c r="K11" s="14">
        <v>12</v>
      </c>
      <c r="L11" s="15" t="s">
        <v>1281</v>
      </c>
      <c r="M11" s="16">
        <v>1531228</v>
      </c>
      <c r="N11" s="16">
        <v>0</v>
      </c>
      <c r="O11" s="16">
        <f>K11*(M11+N11)*4</f>
        <v>73498944</v>
      </c>
      <c r="P11" s="14" t="s">
        <v>1282</v>
      </c>
    </row>
    <row r="12" spans="1:16" x14ac:dyDescent="0.3">
      <c r="A12" s="8" t="s">
        <v>623</v>
      </c>
      <c r="B12" s="9" t="s">
        <v>689</v>
      </c>
      <c r="C12" s="10" t="s">
        <v>690</v>
      </c>
      <c r="D12" s="11">
        <v>44008</v>
      </c>
      <c r="E12" s="11">
        <v>44013</v>
      </c>
      <c r="F12" s="31">
        <v>85748768</v>
      </c>
      <c r="G12" s="32">
        <v>0</v>
      </c>
      <c r="H12" s="8" t="s">
        <v>691</v>
      </c>
      <c r="I12" s="12">
        <v>900402861</v>
      </c>
      <c r="J12" s="13" t="s">
        <v>692</v>
      </c>
      <c r="K12" s="14">
        <v>8</v>
      </c>
      <c r="L12" s="15" t="s">
        <v>1281</v>
      </c>
      <c r="M12" s="16">
        <v>1531228</v>
      </c>
      <c r="N12" s="16">
        <v>0</v>
      </c>
      <c r="O12" s="16">
        <f t="shared" ref="O12:O23" si="1">K12*(M12+N12)</f>
        <v>12249824</v>
      </c>
      <c r="P12" s="14" t="s">
        <v>1282</v>
      </c>
    </row>
    <row r="13" spans="1:16" x14ac:dyDescent="0.3">
      <c r="A13" s="8" t="s">
        <v>728</v>
      </c>
      <c r="B13" s="9">
        <v>1651630</v>
      </c>
      <c r="C13" s="10" t="s">
        <v>873</v>
      </c>
      <c r="D13" s="11">
        <v>44008</v>
      </c>
      <c r="E13" s="11">
        <v>44013</v>
      </c>
      <c r="F13" s="31">
        <v>42500000</v>
      </c>
      <c r="G13" s="32">
        <v>0</v>
      </c>
      <c r="H13" s="8" t="s">
        <v>874</v>
      </c>
      <c r="I13" s="12">
        <v>900589666</v>
      </c>
      <c r="J13" s="13" t="s">
        <v>875</v>
      </c>
      <c r="K13" s="14">
        <v>2</v>
      </c>
      <c r="L13" s="15" t="s">
        <v>1281</v>
      </c>
      <c r="M13" s="16">
        <v>2125000</v>
      </c>
      <c r="N13" s="16">
        <v>0</v>
      </c>
      <c r="O13" s="16">
        <f t="shared" si="1"/>
        <v>4250000</v>
      </c>
      <c r="P13" s="14" t="s">
        <v>1282</v>
      </c>
    </row>
    <row r="14" spans="1:16" x14ac:dyDescent="0.3">
      <c r="A14" s="8" t="s">
        <v>728</v>
      </c>
      <c r="B14" s="9">
        <v>1651630</v>
      </c>
      <c r="C14" s="10" t="s">
        <v>873</v>
      </c>
      <c r="D14" s="11">
        <v>44008</v>
      </c>
      <c r="E14" s="11">
        <v>44013</v>
      </c>
      <c r="F14" s="31">
        <v>42500000</v>
      </c>
      <c r="G14" s="32">
        <v>0</v>
      </c>
      <c r="H14" s="8" t="s">
        <v>874</v>
      </c>
      <c r="I14" s="12">
        <v>900589666</v>
      </c>
      <c r="J14" s="13" t="s">
        <v>876</v>
      </c>
      <c r="K14" s="14">
        <v>2</v>
      </c>
      <c r="L14" s="15" t="s">
        <v>1281</v>
      </c>
      <c r="M14" s="16">
        <v>2125000</v>
      </c>
      <c r="N14" s="16">
        <v>0</v>
      </c>
      <c r="O14" s="16">
        <f t="shared" si="1"/>
        <v>4250000</v>
      </c>
      <c r="P14" s="14" t="s">
        <v>1282</v>
      </c>
    </row>
    <row r="15" spans="1:16" x14ac:dyDescent="0.3">
      <c r="A15" s="8" t="s">
        <v>728</v>
      </c>
      <c r="B15" s="9">
        <v>1651630</v>
      </c>
      <c r="C15" s="10" t="s">
        <v>873</v>
      </c>
      <c r="D15" s="11">
        <v>44008</v>
      </c>
      <c r="E15" s="11">
        <v>44013</v>
      </c>
      <c r="F15" s="31">
        <v>42500000</v>
      </c>
      <c r="G15" s="32">
        <v>0</v>
      </c>
      <c r="H15" s="8" t="s">
        <v>874</v>
      </c>
      <c r="I15" s="12">
        <v>900589666</v>
      </c>
      <c r="J15" s="13" t="s">
        <v>877</v>
      </c>
      <c r="K15" s="14">
        <v>2</v>
      </c>
      <c r="L15" s="15" t="s">
        <v>1281</v>
      </c>
      <c r="M15" s="16">
        <v>2125000</v>
      </c>
      <c r="N15" s="16">
        <v>0</v>
      </c>
      <c r="O15" s="16">
        <f t="shared" si="1"/>
        <v>4250000</v>
      </c>
      <c r="P15" s="14" t="s">
        <v>1282</v>
      </c>
    </row>
    <row r="16" spans="1:16" x14ac:dyDescent="0.3">
      <c r="A16" s="8" t="s">
        <v>728</v>
      </c>
      <c r="B16" s="9">
        <v>1651630</v>
      </c>
      <c r="C16" s="10" t="s">
        <v>873</v>
      </c>
      <c r="D16" s="11">
        <v>44008</v>
      </c>
      <c r="E16" s="11">
        <v>44013</v>
      </c>
      <c r="F16" s="31">
        <v>42500000</v>
      </c>
      <c r="G16" s="32">
        <v>0</v>
      </c>
      <c r="H16" s="8" t="s">
        <v>874</v>
      </c>
      <c r="I16" s="12">
        <v>900589666</v>
      </c>
      <c r="J16" s="13" t="s">
        <v>878</v>
      </c>
      <c r="K16" s="14">
        <v>2</v>
      </c>
      <c r="L16" s="15" t="s">
        <v>1281</v>
      </c>
      <c r="M16" s="16">
        <v>2125000</v>
      </c>
      <c r="N16" s="16">
        <v>0</v>
      </c>
      <c r="O16" s="16">
        <f t="shared" si="1"/>
        <v>4250000</v>
      </c>
      <c r="P16" s="14" t="s">
        <v>1282</v>
      </c>
    </row>
    <row r="17" spans="1:16" x14ac:dyDescent="0.3">
      <c r="A17" s="8" t="s">
        <v>728</v>
      </c>
      <c r="B17" s="9">
        <v>1651630</v>
      </c>
      <c r="C17" s="10" t="s">
        <v>873</v>
      </c>
      <c r="D17" s="11">
        <v>44008</v>
      </c>
      <c r="E17" s="11">
        <v>44013</v>
      </c>
      <c r="F17" s="31">
        <v>42500000</v>
      </c>
      <c r="G17" s="32">
        <v>0</v>
      </c>
      <c r="H17" s="8" t="s">
        <v>874</v>
      </c>
      <c r="I17" s="12">
        <v>900589666</v>
      </c>
      <c r="J17" s="13" t="s">
        <v>879</v>
      </c>
      <c r="K17" s="14">
        <v>2</v>
      </c>
      <c r="L17" s="15" t="s">
        <v>1281</v>
      </c>
      <c r="M17" s="16">
        <v>2125000</v>
      </c>
      <c r="N17" s="16">
        <v>0</v>
      </c>
      <c r="O17" s="16">
        <f t="shared" si="1"/>
        <v>4250000</v>
      </c>
      <c r="P17" s="14" t="s">
        <v>1282</v>
      </c>
    </row>
    <row r="18" spans="1:16" x14ac:dyDescent="0.3">
      <c r="A18" s="8" t="s">
        <v>728</v>
      </c>
      <c r="B18" s="9">
        <v>1651630</v>
      </c>
      <c r="C18" s="10" t="s">
        <v>873</v>
      </c>
      <c r="D18" s="11">
        <v>44008</v>
      </c>
      <c r="E18" s="11">
        <v>44013</v>
      </c>
      <c r="F18" s="31">
        <v>42500000</v>
      </c>
      <c r="G18" s="32">
        <v>0</v>
      </c>
      <c r="H18" s="8" t="s">
        <v>874</v>
      </c>
      <c r="I18" s="12">
        <v>900589666</v>
      </c>
      <c r="J18" s="13" t="s">
        <v>880</v>
      </c>
      <c r="K18" s="14">
        <v>2</v>
      </c>
      <c r="L18" s="15" t="s">
        <v>1281</v>
      </c>
      <c r="M18" s="16">
        <v>2125000</v>
      </c>
      <c r="N18" s="16">
        <v>0</v>
      </c>
      <c r="O18" s="16">
        <f t="shared" si="1"/>
        <v>4250000</v>
      </c>
      <c r="P18" s="14" t="s">
        <v>1282</v>
      </c>
    </row>
    <row r="19" spans="1:16" x14ac:dyDescent="0.3">
      <c r="A19" s="8" t="s">
        <v>728</v>
      </c>
      <c r="B19" s="9">
        <v>1651630</v>
      </c>
      <c r="C19" s="10" t="s">
        <v>873</v>
      </c>
      <c r="D19" s="11">
        <v>44008</v>
      </c>
      <c r="E19" s="11">
        <v>44013</v>
      </c>
      <c r="F19" s="31">
        <v>42500000</v>
      </c>
      <c r="G19" s="32">
        <v>0</v>
      </c>
      <c r="H19" s="8" t="s">
        <v>874</v>
      </c>
      <c r="I19" s="12">
        <v>900589666</v>
      </c>
      <c r="J19" s="13" t="s">
        <v>881</v>
      </c>
      <c r="K19" s="14">
        <v>2</v>
      </c>
      <c r="L19" s="15" t="s">
        <v>1281</v>
      </c>
      <c r="M19" s="16">
        <v>2125000</v>
      </c>
      <c r="N19" s="16">
        <v>0</v>
      </c>
      <c r="O19" s="16">
        <f t="shared" si="1"/>
        <v>4250000</v>
      </c>
      <c r="P19" s="14" t="s">
        <v>1282</v>
      </c>
    </row>
    <row r="20" spans="1:16" x14ac:dyDescent="0.3">
      <c r="A20" s="8" t="s">
        <v>728</v>
      </c>
      <c r="B20" s="9">
        <v>1651630</v>
      </c>
      <c r="C20" s="10" t="s">
        <v>873</v>
      </c>
      <c r="D20" s="11">
        <v>44008</v>
      </c>
      <c r="E20" s="11">
        <v>44013</v>
      </c>
      <c r="F20" s="31">
        <v>42500000</v>
      </c>
      <c r="G20" s="32">
        <v>0</v>
      </c>
      <c r="H20" s="8" t="s">
        <v>874</v>
      </c>
      <c r="I20" s="12">
        <v>900589666</v>
      </c>
      <c r="J20" s="13" t="s">
        <v>882</v>
      </c>
      <c r="K20" s="14">
        <v>2</v>
      </c>
      <c r="L20" s="15" t="s">
        <v>1281</v>
      </c>
      <c r="M20" s="16">
        <v>2125000</v>
      </c>
      <c r="N20" s="16">
        <v>0</v>
      </c>
      <c r="O20" s="16">
        <f t="shared" si="1"/>
        <v>4250000</v>
      </c>
      <c r="P20" s="14" t="s">
        <v>1282</v>
      </c>
    </row>
    <row r="21" spans="1:16" x14ac:dyDescent="0.3">
      <c r="A21" s="8" t="s">
        <v>728</v>
      </c>
      <c r="B21" s="9">
        <v>1651630</v>
      </c>
      <c r="C21" s="10" t="s">
        <v>873</v>
      </c>
      <c r="D21" s="11">
        <v>44008</v>
      </c>
      <c r="E21" s="11">
        <v>44013</v>
      </c>
      <c r="F21" s="31">
        <v>42500000</v>
      </c>
      <c r="G21" s="32">
        <v>0</v>
      </c>
      <c r="H21" s="8" t="s">
        <v>874</v>
      </c>
      <c r="I21" s="12">
        <v>900589666</v>
      </c>
      <c r="J21" s="13" t="s">
        <v>883</v>
      </c>
      <c r="K21" s="14">
        <v>2</v>
      </c>
      <c r="L21" s="15" t="s">
        <v>1281</v>
      </c>
      <c r="M21" s="16">
        <v>2125000</v>
      </c>
      <c r="N21" s="16">
        <v>0</v>
      </c>
      <c r="O21" s="16">
        <f t="shared" si="1"/>
        <v>4250000</v>
      </c>
      <c r="P21" s="14" t="s">
        <v>1282</v>
      </c>
    </row>
    <row r="22" spans="1:16" x14ac:dyDescent="0.3">
      <c r="A22" s="8" t="s">
        <v>728</v>
      </c>
      <c r="B22" s="9">
        <v>1651630</v>
      </c>
      <c r="C22" s="10" t="s">
        <v>873</v>
      </c>
      <c r="D22" s="11">
        <v>44008</v>
      </c>
      <c r="E22" s="11">
        <v>44013</v>
      </c>
      <c r="F22" s="31">
        <v>42500000</v>
      </c>
      <c r="G22" s="32">
        <v>0</v>
      </c>
      <c r="H22" s="8" t="s">
        <v>874</v>
      </c>
      <c r="I22" s="12">
        <v>900589666</v>
      </c>
      <c r="J22" s="13" t="s">
        <v>884</v>
      </c>
      <c r="K22" s="14">
        <v>2</v>
      </c>
      <c r="L22" s="15" t="s">
        <v>1281</v>
      </c>
      <c r="M22" s="16">
        <v>2125000</v>
      </c>
      <c r="N22" s="16">
        <v>0</v>
      </c>
      <c r="O22" s="16">
        <f t="shared" si="1"/>
        <v>4250000</v>
      </c>
      <c r="P22" s="14" t="s">
        <v>1282</v>
      </c>
    </row>
    <row r="23" spans="1:16" x14ac:dyDescent="0.3">
      <c r="A23" s="8" t="s">
        <v>885</v>
      </c>
      <c r="B23" s="9" t="s">
        <v>886</v>
      </c>
      <c r="C23" s="17" t="s">
        <v>887</v>
      </c>
      <c r="D23" s="11">
        <v>43994</v>
      </c>
      <c r="E23" s="11">
        <v>43999</v>
      </c>
      <c r="F23" s="31">
        <v>32430000</v>
      </c>
      <c r="G23" s="32">
        <v>0</v>
      </c>
      <c r="H23" s="8" t="s">
        <v>888</v>
      </c>
      <c r="I23" s="12">
        <v>891500595</v>
      </c>
      <c r="J23" s="13" t="s">
        <v>889</v>
      </c>
      <c r="K23" s="14">
        <v>15</v>
      </c>
      <c r="L23" s="15" t="s">
        <v>1281</v>
      </c>
      <c r="M23" s="16">
        <v>2162000</v>
      </c>
      <c r="N23" s="16">
        <v>0</v>
      </c>
      <c r="O23" s="16">
        <f t="shared" si="1"/>
        <v>32430000</v>
      </c>
      <c r="P23" s="19" t="s">
        <v>1282</v>
      </c>
    </row>
    <row r="24" spans="1:16" x14ac:dyDescent="0.3">
      <c r="A24" s="8" t="s">
        <v>1055</v>
      </c>
      <c r="B24" s="9" t="s">
        <v>1094</v>
      </c>
      <c r="C24" s="10" t="s">
        <v>1095</v>
      </c>
      <c r="D24" s="11">
        <v>44002</v>
      </c>
      <c r="E24" s="11">
        <v>44005</v>
      </c>
      <c r="F24" s="31">
        <v>8000000</v>
      </c>
      <c r="G24" s="32">
        <v>0</v>
      </c>
      <c r="H24" s="8" t="s">
        <v>1096</v>
      </c>
      <c r="I24" s="12">
        <v>46674022</v>
      </c>
      <c r="J24" s="13" t="s">
        <v>1431</v>
      </c>
      <c r="K24" s="14">
        <v>1</v>
      </c>
      <c r="L24" s="15" t="s">
        <v>1281</v>
      </c>
      <c r="M24" s="16">
        <v>1600000</v>
      </c>
      <c r="N24" s="16">
        <v>0</v>
      </c>
      <c r="O24" s="16">
        <f>K24*(M24+N24)*5</f>
        <v>8000000</v>
      </c>
      <c r="P24" s="14" t="s">
        <v>1282</v>
      </c>
    </row>
    <row r="25" spans="1:16" x14ac:dyDescent="0.3">
      <c r="A25" s="8" t="s">
        <v>1055</v>
      </c>
      <c r="B25" s="9" t="s">
        <v>1097</v>
      </c>
      <c r="C25" s="10" t="s">
        <v>1095</v>
      </c>
      <c r="D25" s="11">
        <v>44002</v>
      </c>
      <c r="E25" s="11">
        <v>44005</v>
      </c>
      <c r="F25" s="31">
        <v>8000000</v>
      </c>
      <c r="G25" s="32">
        <v>0</v>
      </c>
      <c r="H25" s="8" t="s">
        <v>1098</v>
      </c>
      <c r="I25" s="12">
        <v>1057600328</v>
      </c>
      <c r="J25" s="13" t="s">
        <v>1431</v>
      </c>
      <c r="K25" s="14">
        <v>1</v>
      </c>
      <c r="L25" s="15" t="s">
        <v>1281</v>
      </c>
      <c r="M25" s="16">
        <v>1600000</v>
      </c>
      <c r="N25" s="16">
        <v>0</v>
      </c>
      <c r="O25" s="16">
        <f t="shared" ref="O25:O33" si="2">K25*(M25+N25)*5</f>
        <v>8000000</v>
      </c>
      <c r="P25" s="14" t="s">
        <v>1282</v>
      </c>
    </row>
    <row r="26" spans="1:16" x14ac:dyDescent="0.3">
      <c r="A26" s="8" t="s">
        <v>1055</v>
      </c>
      <c r="B26" s="9" t="s">
        <v>1099</v>
      </c>
      <c r="C26" s="10" t="s">
        <v>1095</v>
      </c>
      <c r="D26" s="11">
        <v>44002</v>
      </c>
      <c r="E26" s="11">
        <v>44005</v>
      </c>
      <c r="F26" s="31">
        <v>8000000</v>
      </c>
      <c r="G26" s="32">
        <v>0</v>
      </c>
      <c r="H26" s="8" t="s">
        <v>1100</v>
      </c>
      <c r="I26" s="12">
        <v>1049620718</v>
      </c>
      <c r="J26" s="13" t="s">
        <v>1431</v>
      </c>
      <c r="K26" s="14">
        <v>1</v>
      </c>
      <c r="L26" s="15" t="s">
        <v>1281</v>
      </c>
      <c r="M26" s="16">
        <v>1600000</v>
      </c>
      <c r="N26" s="16">
        <v>0</v>
      </c>
      <c r="O26" s="16">
        <f t="shared" si="2"/>
        <v>8000000</v>
      </c>
      <c r="P26" s="14" t="s">
        <v>1282</v>
      </c>
    </row>
    <row r="27" spans="1:16" x14ac:dyDescent="0.3">
      <c r="A27" s="8" t="s">
        <v>1055</v>
      </c>
      <c r="B27" s="9" t="s">
        <v>1101</v>
      </c>
      <c r="C27" s="10" t="s">
        <v>1095</v>
      </c>
      <c r="D27" s="11">
        <v>44005</v>
      </c>
      <c r="E27" s="11">
        <v>44006</v>
      </c>
      <c r="F27" s="31">
        <v>8000000</v>
      </c>
      <c r="G27" s="32">
        <v>0</v>
      </c>
      <c r="H27" s="8" t="s">
        <v>1102</v>
      </c>
      <c r="I27" s="12">
        <v>1002523080</v>
      </c>
      <c r="J27" s="13" t="s">
        <v>1431</v>
      </c>
      <c r="K27" s="14">
        <v>1</v>
      </c>
      <c r="L27" s="15" t="s">
        <v>1281</v>
      </c>
      <c r="M27" s="16">
        <v>1600000</v>
      </c>
      <c r="N27" s="16">
        <v>0</v>
      </c>
      <c r="O27" s="16">
        <f t="shared" si="2"/>
        <v>8000000</v>
      </c>
      <c r="P27" s="14" t="s">
        <v>1282</v>
      </c>
    </row>
    <row r="28" spans="1:16" x14ac:dyDescent="0.3">
      <c r="A28" s="8" t="s">
        <v>1055</v>
      </c>
      <c r="B28" s="9" t="s">
        <v>1103</v>
      </c>
      <c r="C28" s="10" t="s">
        <v>1095</v>
      </c>
      <c r="D28" s="11">
        <v>44006</v>
      </c>
      <c r="E28" s="11">
        <v>44007</v>
      </c>
      <c r="F28" s="31">
        <v>8000000</v>
      </c>
      <c r="G28" s="32">
        <v>0</v>
      </c>
      <c r="H28" s="8" t="s">
        <v>1104</v>
      </c>
      <c r="I28" s="12">
        <v>1055312482</v>
      </c>
      <c r="J28" s="13" t="s">
        <v>1431</v>
      </c>
      <c r="K28" s="14">
        <v>1</v>
      </c>
      <c r="L28" s="15" t="s">
        <v>1281</v>
      </c>
      <c r="M28" s="16">
        <v>1600000</v>
      </c>
      <c r="N28" s="16">
        <v>0</v>
      </c>
      <c r="O28" s="16">
        <f t="shared" si="2"/>
        <v>8000000</v>
      </c>
      <c r="P28" s="14" t="s">
        <v>1282</v>
      </c>
    </row>
    <row r="29" spans="1:16" x14ac:dyDescent="0.3">
      <c r="A29" s="8" t="s">
        <v>1055</v>
      </c>
      <c r="B29" s="9" t="s">
        <v>1105</v>
      </c>
      <c r="C29" s="10" t="s">
        <v>1095</v>
      </c>
      <c r="D29" s="11">
        <v>44012</v>
      </c>
      <c r="E29" s="11">
        <v>44164</v>
      </c>
      <c r="F29" s="31">
        <v>8000000</v>
      </c>
      <c r="G29" s="32">
        <v>0</v>
      </c>
      <c r="H29" s="8" t="s">
        <v>1106</v>
      </c>
      <c r="I29" s="12">
        <v>46385024</v>
      </c>
      <c r="J29" s="13" t="s">
        <v>1431</v>
      </c>
      <c r="K29" s="14">
        <v>1</v>
      </c>
      <c r="L29" s="15" t="s">
        <v>1281</v>
      </c>
      <c r="M29" s="16">
        <v>1600000</v>
      </c>
      <c r="N29" s="16">
        <v>0</v>
      </c>
      <c r="O29" s="16">
        <f t="shared" si="2"/>
        <v>8000000</v>
      </c>
      <c r="P29" s="14" t="s">
        <v>1282</v>
      </c>
    </row>
    <row r="30" spans="1:16" x14ac:dyDescent="0.3">
      <c r="A30" s="8" t="s">
        <v>1055</v>
      </c>
      <c r="B30" s="9" t="s">
        <v>1107</v>
      </c>
      <c r="C30" s="10" t="s">
        <v>1095</v>
      </c>
      <c r="D30" s="11">
        <v>44013</v>
      </c>
      <c r="E30" s="11">
        <v>44165</v>
      </c>
      <c r="F30" s="31">
        <v>8000000</v>
      </c>
      <c r="G30" s="32">
        <v>0</v>
      </c>
      <c r="H30" s="8" t="s">
        <v>1108</v>
      </c>
      <c r="I30" s="12">
        <v>46369935</v>
      </c>
      <c r="J30" s="13" t="s">
        <v>1431</v>
      </c>
      <c r="K30" s="14">
        <v>1</v>
      </c>
      <c r="L30" s="15" t="s">
        <v>1281</v>
      </c>
      <c r="M30" s="16">
        <v>1600000</v>
      </c>
      <c r="N30" s="16">
        <v>0</v>
      </c>
      <c r="O30" s="16">
        <f t="shared" si="2"/>
        <v>8000000</v>
      </c>
      <c r="P30" s="14" t="s">
        <v>1282</v>
      </c>
    </row>
    <row r="31" spans="1:16" x14ac:dyDescent="0.3">
      <c r="A31" s="8" t="s">
        <v>1055</v>
      </c>
      <c r="B31" s="9" t="s">
        <v>1109</v>
      </c>
      <c r="C31" s="10" t="s">
        <v>1095</v>
      </c>
      <c r="D31" s="11">
        <v>44013</v>
      </c>
      <c r="E31" s="11">
        <v>44165</v>
      </c>
      <c r="F31" s="31">
        <v>8000000</v>
      </c>
      <c r="G31" s="32">
        <v>0</v>
      </c>
      <c r="H31" s="8" t="s">
        <v>1110</v>
      </c>
      <c r="I31" s="12">
        <v>1052314062</v>
      </c>
      <c r="J31" s="13" t="s">
        <v>1431</v>
      </c>
      <c r="K31" s="14">
        <v>1</v>
      </c>
      <c r="L31" s="15" t="s">
        <v>1281</v>
      </c>
      <c r="M31" s="16">
        <v>1600000</v>
      </c>
      <c r="N31" s="16">
        <v>0</v>
      </c>
      <c r="O31" s="16">
        <f t="shared" si="2"/>
        <v>8000000</v>
      </c>
      <c r="P31" s="14" t="s">
        <v>1282</v>
      </c>
    </row>
    <row r="32" spans="1:16" x14ac:dyDescent="0.3">
      <c r="A32" s="8" t="s">
        <v>1055</v>
      </c>
      <c r="B32" s="9" t="s">
        <v>1111</v>
      </c>
      <c r="C32" s="10" t="s">
        <v>1095</v>
      </c>
      <c r="D32" s="11">
        <v>44018</v>
      </c>
      <c r="E32" s="11">
        <v>44170</v>
      </c>
      <c r="F32" s="31">
        <v>8000000</v>
      </c>
      <c r="G32" s="32">
        <v>0</v>
      </c>
      <c r="H32" s="8" t="s">
        <v>1112</v>
      </c>
      <c r="I32" s="12">
        <v>23783733</v>
      </c>
      <c r="J32" s="13" t="s">
        <v>1431</v>
      </c>
      <c r="K32" s="14">
        <v>1</v>
      </c>
      <c r="L32" s="15" t="s">
        <v>1281</v>
      </c>
      <c r="M32" s="16">
        <v>1600000</v>
      </c>
      <c r="N32" s="16">
        <v>0</v>
      </c>
      <c r="O32" s="16">
        <f t="shared" si="2"/>
        <v>8000000</v>
      </c>
      <c r="P32" s="14" t="s">
        <v>1282</v>
      </c>
    </row>
    <row r="33" spans="1:16" x14ac:dyDescent="0.3">
      <c r="A33" s="8" t="s">
        <v>1055</v>
      </c>
      <c r="B33" s="9" t="s">
        <v>1113</v>
      </c>
      <c r="C33" s="10" t="s">
        <v>1095</v>
      </c>
      <c r="D33" s="11">
        <v>44041</v>
      </c>
      <c r="E33" s="11">
        <v>44193</v>
      </c>
      <c r="F33" s="31">
        <v>8000000</v>
      </c>
      <c r="G33" s="32">
        <v>0</v>
      </c>
      <c r="H33" s="8" t="s">
        <v>1114</v>
      </c>
      <c r="I33" s="12">
        <v>23427767</v>
      </c>
      <c r="J33" s="13" t="s">
        <v>1431</v>
      </c>
      <c r="K33" s="14">
        <v>1</v>
      </c>
      <c r="L33" s="15" t="s">
        <v>1281</v>
      </c>
      <c r="M33" s="16">
        <v>1600000</v>
      </c>
      <c r="N33" s="16">
        <v>0</v>
      </c>
      <c r="O33" s="16">
        <f t="shared" si="2"/>
        <v>8000000</v>
      </c>
      <c r="P33" s="14" t="s">
        <v>1282</v>
      </c>
    </row>
    <row r="34" spans="1:16" x14ac:dyDescent="0.3">
      <c r="A34" s="8" t="s">
        <v>1115</v>
      </c>
      <c r="B34" s="9">
        <v>6</v>
      </c>
      <c r="C34" s="10" t="s">
        <v>1153</v>
      </c>
      <c r="D34" s="11">
        <v>44000</v>
      </c>
      <c r="E34" s="11">
        <v>44006</v>
      </c>
      <c r="F34" s="31">
        <v>69638644</v>
      </c>
      <c r="G34" s="32">
        <v>0</v>
      </c>
      <c r="H34" s="8" t="s">
        <v>1154</v>
      </c>
      <c r="I34" s="12">
        <v>80014829</v>
      </c>
      <c r="J34" s="13" t="s">
        <v>1427</v>
      </c>
      <c r="K34" s="14">
        <v>15</v>
      </c>
      <c r="L34" s="15" t="s">
        <v>1281</v>
      </c>
      <c r="M34" s="16">
        <f>23212881/15</f>
        <v>1547525.4</v>
      </c>
      <c r="N34" s="16">
        <v>0</v>
      </c>
      <c r="O34" s="16">
        <f>K34*(M34+N34)*3</f>
        <v>69638643</v>
      </c>
      <c r="P34" s="19" t="s">
        <v>1282</v>
      </c>
    </row>
  </sheetData>
  <dataValidations count="13">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G2 A3:B3 D3:I3 E5:E6 E13:E15 E21:E22 E28 E31 D34:I34 A34:B34">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E2 E4 D4:D6 E19:E20 D19:D22 D13:D15 D28 D3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B6 B10 B18:B22 B13:B16 B29:B3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H6 H9:H10 H13:H15 H18:H22 H24:H3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5 I9 I21:I22 I13:I15 I18 I24:I28 I31:I3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10 A13:A2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F6 F18:F22 F13:F15 F28 F30: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6 I16 I29:I30">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7:G8 G17:G2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7:E7 D9:E12 D16:E18 D24:E27 D29:E29 D31:E3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9 F23:F27 F29:F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H16 C29:C30">
      <formula1>0</formula1>
      <formula2>390</formula2>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activeCell="J2" sqref="J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976</v>
      </c>
      <c r="B2" s="9" t="s">
        <v>1254</v>
      </c>
      <c r="C2" s="10" t="s">
        <v>1255</v>
      </c>
      <c r="D2" s="11">
        <v>47430</v>
      </c>
      <c r="E2" s="11">
        <v>43907</v>
      </c>
      <c r="F2" s="31">
        <v>0</v>
      </c>
      <c r="G2" s="32">
        <v>5308690</v>
      </c>
      <c r="H2" s="8" t="s">
        <v>1256</v>
      </c>
      <c r="I2" s="12">
        <v>800209088</v>
      </c>
      <c r="J2" s="13" t="s">
        <v>1495</v>
      </c>
      <c r="K2" s="14">
        <v>10</v>
      </c>
      <c r="L2" s="15" t="s">
        <v>1281</v>
      </c>
      <c r="M2" s="16">
        <v>530869</v>
      </c>
      <c r="N2" s="16">
        <v>0</v>
      </c>
      <c r="O2" s="16">
        <f t="shared" ref="O2" si="0">K2*(M2+N2)</f>
        <v>5308690</v>
      </c>
      <c r="P2" s="14" t="s">
        <v>1403</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O3" sqref="O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976</v>
      </c>
      <c r="B2" s="9" t="s">
        <v>1258</v>
      </c>
      <c r="C2" s="10" t="s">
        <v>1259</v>
      </c>
      <c r="D2" s="11">
        <v>43770</v>
      </c>
      <c r="E2" s="11">
        <v>43936</v>
      </c>
      <c r="F2" s="31">
        <v>0</v>
      </c>
      <c r="G2" s="32">
        <v>31068000</v>
      </c>
      <c r="H2" s="8" t="s">
        <v>1260</v>
      </c>
      <c r="I2" s="12">
        <v>812000152</v>
      </c>
      <c r="J2" s="13" t="s">
        <v>1263</v>
      </c>
      <c r="K2" s="14">
        <v>76</v>
      </c>
      <c r="L2" s="18" t="s">
        <v>172</v>
      </c>
      <c r="M2" s="16">
        <v>3170</v>
      </c>
      <c r="N2" s="16">
        <v>0</v>
      </c>
      <c r="O2" s="16">
        <f t="shared" ref="O2:O3" si="0">K2*(M2+N2)</f>
        <v>240920</v>
      </c>
      <c r="P2" s="14" t="s">
        <v>1264</v>
      </c>
    </row>
    <row r="3" spans="1:16" x14ac:dyDescent="0.3">
      <c r="A3" s="8" t="s">
        <v>976</v>
      </c>
      <c r="B3" s="9" t="s">
        <v>1258</v>
      </c>
      <c r="C3" s="10" t="s">
        <v>1259</v>
      </c>
      <c r="D3" s="11">
        <v>43770</v>
      </c>
      <c r="E3" s="11">
        <v>43936</v>
      </c>
      <c r="F3" s="31">
        <v>0</v>
      </c>
      <c r="G3" s="32">
        <v>31068000</v>
      </c>
      <c r="H3" s="8" t="s">
        <v>1260</v>
      </c>
      <c r="I3" s="12">
        <v>812000152</v>
      </c>
      <c r="J3" s="13" t="s">
        <v>1263</v>
      </c>
      <c r="K3" s="14">
        <v>114</v>
      </c>
      <c r="L3" s="18" t="s">
        <v>172</v>
      </c>
      <c r="M3" s="16">
        <v>3170</v>
      </c>
      <c r="N3" s="16">
        <v>0</v>
      </c>
      <c r="O3" s="16">
        <f t="shared" si="0"/>
        <v>361380</v>
      </c>
      <c r="P3" s="14" t="s">
        <v>1264</v>
      </c>
    </row>
  </sheetData>
  <dataValidations count="4">
    <dataValidation type="decimal" allowBlank="1" showInputMessage="1" showErrorMessage="1" errorTitle="Entrada no válida" error="Por favor escriba un número" promptTitle="Escriba un número en esta casilla" prompt=" Registre EN NÚMERO DE DÍAS CALENDARIO el plazo de ejecución de la orden." sqref="D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formula1>-999999999</formula1>
      <formula2>999999999</formula2>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O3" sqref="O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44</v>
      </c>
      <c r="C2" s="10" t="s">
        <v>41</v>
      </c>
      <c r="D2" s="11">
        <v>43967</v>
      </c>
      <c r="E2" s="11">
        <v>43967</v>
      </c>
      <c r="F2" s="31">
        <v>2546740</v>
      </c>
      <c r="G2" s="32">
        <v>0</v>
      </c>
      <c r="H2" s="8" t="s">
        <v>45</v>
      </c>
      <c r="I2" s="12">
        <v>900906970</v>
      </c>
      <c r="J2" s="13" t="s">
        <v>46</v>
      </c>
      <c r="K2" s="14">
        <v>130</v>
      </c>
      <c r="L2" s="15" t="s">
        <v>556</v>
      </c>
      <c r="M2" s="16">
        <v>16462.439999999999</v>
      </c>
      <c r="N2" s="16">
        <f t="shared" ref="N2" si="0">M2*19%</f>
        <v>3127.8635999999997</v>
      </c>
      <c r="O2" s="16">
        <f t="shared" ref="O2:O3" si="1">K2*(M2+N2)</f>
        <v>2546739.4679999999</v>
      </c>
      <c r="P2" s="14" t="s">
        <v>1280</v>
      </c>
    </row>
    <row r="3" spans="1:16" x14ac:dyDescent="0.3">
      <c r="A3" s="8" t="s">
        <v>407</v>
      </c>
      <c r="B3" s="9" t="s">
        <v>457</v>
      </c>
      <c r="C3" s="10" t="s">
        <v>459</v>
      </c>
      <c r="D3" s="11">
        <v>43987</v>
      </c>
      <c r="E3" s="11">
        <v>43987</v>
      </c>
      <c r="F3" s="31">
        <v>4002050</v>
      </c>
      <c r="G3" s="32">
        <v>0</v>
      </c>
      <c r="H3" s="8" t="s">
        <v>458</v>
      </c>
      <c r="I3" s="12">
        <v>9009069703</v>
      </c>
      <c r="J3" s="13" t="s">
        <v>459</v>
      </c>
      <c r="K3" s="14">
        <v>225</v>
      </c>
      <c r="L3" s="15" t="s">
        <v>556</v>
      </c>
      <c r="M3" s="16">
        <v>14200</v>
      </c>
      <c r="N3" s="16">
        <f>M3*0.19</f>
        <v>2698</v>
      </c>
      <c r="O3" s="16">
        <f t="shared" si="1"/>
        <v>3802050</v>
      </c>
      <c r="P3" s="14" t="s">
        <v>1280</v>
      </c>
    </row>
  </sheetData>
  <dataValidations count="6">
    <dataValidation type="date" allowBlank="1" showInputMessage="1" errorTitle="Entrada no válida" error="Por favor escriba una fecha válida (AAAA/MM/DD)" promptTitle="Ingrese una fecha (AAAA/MM/DD)" prompt=" Registre la fecha en la cual se SUSCRIBIÓ la orden (Formato AAAA/MM/DD)." sqref="D2:E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J1" workbookViewId="0">
      <selection activeCell="O8" sqref="O8"/>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153</v>
      </c>
      <c r="B2" s="9" t="s">
        <v>158</v>
      </c>
      <c r="C2" s="10" t="s">
        <v>159</v>
      </c>
      <c r="D2" s="11">
        <v>43917</v>
      </c>
      <c r="E2" s="11">
        <v>43917</v>
      </c>
      <c r="F2" s="31">
        <v>11284977</v>
      </c>
      <c r="G2" s="32">
        <v>0</v>
      </c>
      <c r="H2" s="8" t="s">
        <v>160</v>
      </c>
      <c r="I2" s="12">
        <v>1095815252</v>
      </c>
      <c r="J2" s="13" t="s">
        <v>161</v>
      </c>
      <c r="K2" s="14">
        <v>37</v>
      </c>
      <c r="L2" s="15" t="s">
        <v>250</v>
      </c>
      <c r="M2" s="16">
        <v>138655</v>
      </c>
      <c r="N2" s="16">
        <f>M2*0.19</f>
        <v>26344.45</v>
      </c>
      <c r="O2" s="16">
        <f>K2*(M2+N2)</f>
        <v>6104979.6500000004</v>
      </c>
      <c r="P2" s="14" t="s">
        <v>162</v>
      </c>
    </row>
    <row r="3" spans="1:16" x14ac:dyDescent="0.3">
      <c r="A3" s="8" t="s">
        <v>153</v>
      </c>
      <c r="B3" s="9" t="s">
        <v>243</v>
      </c>
      <c r="C3" s="10" t="s">
        <v>244</v>
      </c>
      <c r="D3" s="11">
        <v>44020</v>
      </c>
      <c r="E3" s="11">
        <v>44020</v>
      </c>
      <c r="F3" s="31">
        <v>51086700</v>
      </c>
      <c r="G3" s="32">
        <v>0</v>
      </c>
      <c r="H3" s="8" t="s">
        <v>245</v>
      </c>
      <c r="I3" s="12">
        <v>900584757</v>
      </c>
      <c r="J3" s="13" t="s">
        <v>246</v>
      </c>
      <c r="K3" s="14">
        <v>135</v>
      </c>
      <c r="L3" s="15" t="s">
        <v>250</v>
      </c>
      <c r="M3" s="16">
        <v>318000</v>
      </c>
      <c r="N3" s="16">
        <f>M3*0.19</f>
        <v>60420</v>
      </c>
      <c r="O3" s="16">
        <f t="shared" ref="O3:O8" si="0">K3*(M3+N3)</f>
        <v>51086700</v>
      </c>
      <c r="P3" s="14" t="s">
        <v>162</v>
      </c>
    </row>
    <row r="4" spans="1:16" x14ac:dyDescent="0.3">
      <c r="A4" s="8" t="s">
        <v>252</v>
      </c>
      <c r="B4" s="9" t="s">
        <v>286</v>
      </c>
      <c r="C4" s="10" t="s">
        <v>287</v>
      </c>
      <c r="D4" s="11">
        <v>43977</v>
      </c>
      <c r="E4" s="11">
        <v>43977</v>
      </c>
      <c r="F4" s="31">
        <v>124500180</v>
      </c>
      <c r="G4" s="32">
        <v>60547200</v>
      </c>
      <c r="H4" s="8" t="s">
        <v>288</v>
      </c>
      <c r="I4" s="12">
        <v>900584757</v>
      </c>
      <c r="J4" s="13" t="s">
        <v>289</v>
      </c>
      <c r="K4" s="14">
        <v>489</v>
      </c>
      <c r="L4" s="15" t="s">
        <v>250</v>
      </c>
      <c r="M4" s="16">
        <v>318000</v>
      </c>
      <c r="N4" s="16">
        <v>60420</v>
      </c>
      <c r="O4" s="16">
        <f t="shared" si="0"/>
        <v>185047380</v>
      </c>
      <c r="P4" s="14" t="s">
        <v>162</v>
      </c>
    </row>
    <row r="5" spans="1:16" x14ac:dyDescent="0.3">
      <c r="A5" s="8" t="s">
        <v>544</v>
      </c>
      <c r="B5" s="9" t="s">
        <v>618</v>
      </c>
      <c r="C5" s="10" t="s">
        <v>619</v>
      </c>
      <c r="D5" s="11">
        <v>43980</v>
      </c>
      <c r="E5" s="11">
        <v>43980</v>
      </c>
      <c r="F5" s="31">
        <v>64800000</v>
      </c>
      <c r="G5" s="32">
        <v>0</v>
      </c>
      <c r="H5" s="8" t="s">
        <v>620</v>
      </c>
      <c r="I5" s="12">
        <v>901315614</v>
      </c>
      <c r="J5" s="13" t="s">
        <v>622</v>
      </c>
      <c r="K5" s="14">
        <v>160</v>
      </c>
      <c r="L5" s="15" t="s">
        <v>250</v>
      </c>
      <c r="M5" s="16">
        <v>163865.54999999999</v>
      </c>
      <c r="N5" s="16">
        <f t="shared" ref="N5" si="1">M5*0.19</f>
        <v>31134.4545</v>
      </c>
      <c r="O5" s="16">
        <f t="shared" si="0"/>
        <v>31200000.719999999</v>
      </c>
      <c r="P5" s="14" t="s">
        <v>162</v>
      </c>
    </row>
    <row r="6" spans="1:16" x14ac:dyDescent="0.3">
      <c r="A6" s="8" t="s">
        <v>1231</v>
      </c>
      <c r="B6" s="9" t="s">
        <v>1240</v>
      </c>
      <c r="C6" s="17" t="s">
        <v>1241</v>
      </c>
      <c r="D6" s="11">
        <v>43915</v>
      </c>
      <c r="E6" s="11">
        <v>43921</v>
      </c>
      <c r="F6" s="31">
        <v>55131040</v>
      </c>
      <c r="G6" s="32">
        <v>0</v>
      </c>
      <c r="H6" s="8" t="s">
        <v>1242</v>
      </c>
      <c r="I6" s="12">
        <v>900885138</v>
      </c>
      <c r="J6" s="13" t="s">
        <v>1243</v>
      </c>
      <c r="K6" s="14">
        <v>235</v>
      </c>
      <c r="L6" s="15" t="s">
        <v>250</v>
      </c>
      <c r="M6" s="16">
        <v>171600</v>
      </c>
      <c r="N6" s="16">
        <v>0</v>
      </c>
      <c r="O6" s="16">
        <f t="shared" si="0"/>
        <v>40326000</v>
      </c>
      <c r="P6" s="19" t="s">
        <v>162</v>
      </c>
    </row>
    <row r="7" spans="1:16" x14ac:dyDescent="0.3">
      <c r="A7" s="8" t="s">
        <v>885</v>
      </c>
      <c r="B7" s="9" t="s">
        <v>890</v>
      </c>
      <c r="C7" s="17" t="s">
        <v>891</v>
      </c>
      <c r="D7" s="11">
        <v>43994</v>
      </c>
      <c r="E7" s="11">
        <v>43994</v>
      </c>
      <c r="F7" s="31">
        <v>45932000</v>
      </c>
      <c r="G7" s="32">
        <v>0</v>
      </c>
      <c r="H7" s="8" t="s">
        <v>892</v>
      </c>
      <c r="I7" s="12">
        <v>1083893865</v>
      </c>
      <c r="J7" s="13" t="s">
        <v>894</v>
      </c>
      <c r="K7" s="14">
        <v>118</v>
      </c>
      <c r="L7" s="15" t="s">
        <v>250</v>
      </c>
      <c r="M7" s="16">
        <v>201680.67226890757</v>
      </c>
      <c r="N7" s="16">
        <f>M7*0.19</f>
        <v>38319.327731092439</v>
      </c>
      <c r="O7" s="16">
        <f t="shared" si="0"/>
        <v>28320000</v>
      </c>
      <c r="P7" s="19" t="s">
        <v>162</v>
      </c>
    </row>
    <row r="8" spans="1:16" x14ac:dyDescent="0.3">
      <c r="A8" s="8" t="s">
        <v>976</v>
      </c>
      <c r="B8" s="9" t="s">
        <v>1020</v>
      </c>
      <c r="C8" s="10" t="s">
        <v>1021</v>
      </c>
      <c r="D8" s="11">
        <v>44022</v>
      </c>
      <c r="E8" s="11">
        <v>44025</v>
      </c>
      <c r="F8" s="31">
        <v>140991200</v>
      </c>
      <c r="G8" s="32">
        <v>0</v>
      </c>
      <c r="H8" s="8" t="s">
        <v>1022</v>
      </c>
      <c r="I8" s="12">
        <v>900564459</v>
      </c>
      <c r="J8" s="13" t="s">
        <v>1023</v>
      </c>
      <c r="K8" s="14">
        <v>300</v>
      </c>
      <c r="L8" s="15" t="s">
        <v>250</v>
      </c>
      <c r="M8" s="16">
        <v>330000</v>
      </c>
      <c r="N8" s="16">
        <f t="shared" ref="N8" si="2">M8*0.19</f>
        <v>62700</v>
      </c>
      <c r="O8" s="16">
        <f t="shared" si="0"/>
        <v>117810000</v>
      </c>
      <c r="P8" s="14" t="s">
        <v>162</v>
      </c>
    </row>
  </sheetData>
  <dataValidations count="11">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5 B8">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I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6 A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4 F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4 E7:E8">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D4 D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3">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5:F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5:E5">
      <formula1>1900/1/1</formula1>
      <formula2>3000/1/1</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1" workbookViewId="0">
      <selection activeCell="P7" sqref="P7"/>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544</v>
      </c>
      <c r="B2" s="9" t="s">
        <v>599</v>
      </c>
      <c r="C2" s="10" t="s">
        <v>600</v>
      </c>
      <c r="D2" s="11">
        <v>43987</v>
      </c>
      <c r="E2" s="11">
        <v>43987</v>
      </c>
      <c r="F2" s="31">
        <v>131250000</v>
      </c>
      <c r="G2" s="32">
        <v>0</v>
      </c>
      <c r="H2" s="8" t="s">
        <v>601</v>
      </c>
      <c r="I2" s="12">
        <v>901220553</v>
      </c>
      <c r="J2" s="13" t="s">
        <v>603</v>
      </c>
      <c r="K2" s="24">
        <v>1500</v>
      </c>
      <c r="L2" s="15" t="s">
        <v>172</v>
      </c>
      <c r="M2" s="16">
        <v>17800</v>
      </c>
      <c r="N2" s="16">
        <v>0</v>
      </c>
      <c r="O2" s="16">
        <f t="shared" ref="O2:O5" si="0">K2*(M2+N2)</f>
        <v>26700000</v>
      </c>
      <c r="P2" s="14" t="s">
        <v>1375</v>
      </c>
    </row>
    <row r="3" spans="1:16" x14ac:dyDescent="0.3">
      <c r="A3" s="8" t="s">
        <v>885</v>
      </c>
      <c r="B3" s="9">
        <v>50981</v>
      </c>
      <c r="C3" s="17" t="s">
        <v>1499</v>
      </c>
      <c r="D3" s="11">
        <v>44007</v>
      </c>
      <c r="E3" s="11">
        <v>44007</v>
      </c>
      <c r="F3" s="31">
        <v>38826000</v>
      </c>
      <c r="G3" s="32">
        <v>0</v>
      </c>
      <c r="H3" s="8" t="s">
        <v>958</v>
      </c>
      <c r="I3" s="12">
        <v>901211678</v>
      </c>
      <c r="J3" s="13" t="s">
        <v>603</v>
      </c>
      <c r="K3" s="24">
        <v>3000</v>
      </c>
      <c r="L3" s="15" t="s">
        <v>172</v>
      </c>
      <c r="M3" s="16">
        <v>12942</v>
      </c>
      <c r="N3" s="16">
        <v>0</v>
      </c>
      <c r="O3" s="16">
        <f t="shared" si="0"/>
        <v>38826000</v>
      </c>
      <c r="P3" s="14" t="s">
        <v>1375</v>
      </c>
    </row>
    <row r="4" spans="1:16" x14ac:dyDescent="0.3">
      <c r="A4" s="8" t="s">
        <v>976</v>
      </c>
      <c r="B4" s="9" t="s">
        <v>1258</v>
      </c>
      <c r="C4" s="10" t="s">
        <v>1259</v>
      </c>
      <c r="D4" s="11">
        <v>43770</v>
      </c>
      <c r="E4" s="11">
        <v>43906</v>
      </c>
      <c r="F4" s="31">
        <v>0</v>
      </c>
      <c r="G4" s="32">
        <v>31068000</v>
      </c>
      <c r="H4" s="8" t="s">
        <v>1260</v>
      </c>
      <c r="I4" s="12">
        <v>812000152</v>
      </c>
      <c r="J4" s="13" t="s">
        <v>1261</v>
      </c>
      <c r="K4" s="24">
        <v>400</v>
      </c>
      <c r="L4" s="15" t="s">
        <v>172</v>
      </c>
      <c r="M4" s="16">
        <v>11000</v>
      </c>
      <c r="N4" s="16">
        <v>0</v>
      </c>
      <c r="O4" s="16">
        <f t="shared" si="0"/>
        <v>4400000</v>
      </c>
      <c r="P4" s="14" t="s">
        <v>1375</v>
      </c>
    </row>
    <row r="5" spans="1:16" x14ac:dyDescent="0.3">
      <c r="A5" s="8" t="s">
        <v>976</v>
      </c>
      <c r="B5" s="9" t="s">
        <v>1258</v>
      </c>
      <c r="C5" s="10" t="s">
        <v>1259</v>
      </c>
      <c r="D5" s="11">
        <v>43770</v>
      </c>
      <c r="E5" s="11">
        <v>43936</v>
      </c>
      <c r="F5" s="31">
        <v>0</v>
      </c>
      <c r="G5" s="32">
        <v>31068000</v>
      </c>
      <c r="H5" s="8" t="s">
        <v>1260</v>
      </c>
      <c r="I5" s="12">
        <v>812000152</v>
      </c>
      <c r="J5" s="13" t="s">
        <v>1261</v>
      </c>
      <c r="K5" s="24">
        <v>400</v>
      </c>
      <c r="L5" s="18" t="s">
        <v>172</v>
      </c>
      <c r="M5" s="16">
        <v>11000</v>
      </c>
      <c r="N5" s="16">
        <v>0</v>
      </c>
      <c r="O5" s="16">
        <f t="shared" si="0"/>
        <v>4400000</v>
      </c>
      <c r="P5" s="14" t="s">
        <v>1375</v>
      </c>
    </row>
  </sheetData>
  <dataValidations count="4">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2:E3">
      <formula1>1900/1/1</formula1>
      <formula2>3000/1/1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1" workbookViewId="0">
      <selection activeCell="I1" sqref="I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86</v>
      </c>
      <c r="B2" s="9" t="s">
        <v>116</v>
      </c>
      <c r="C2" s="10" t="s">
        <v>117</v>
      </c>
      <c r="D2" s="11">
        <v>43948</v>
      </c>
      <c r="E2" s="11">
        <v>43957</v>
      </c>
      <c r="F2" s="31">
        <v>73631250</v>
      </c>
      <c r="G2" s="32">
        <v>73631250</v>
      </c>
      <c r="H2" s="8" t="s">
        <v>102</v>
      </c>
      <c r="I2" s="12">
        <v>900594755</v>
      </c>
      <c r="J2" s="13" t="s">
        <v>1433</v>
      </c>
      <c r="K2" s="14">
        <v>300</v>
      </c>
      <c r="L2" s="15" t="s">
        <v>1284</v>
      </c>
      <c r="M2" s="16">
        <v>137500</v>
      </c>
      <c r="N2" s="16">
        <f>M2*0.19</f>
        <v>26125</v>
      </c>
      <c r="O2" s="16">
        <f>K2*(M2+N2)*3</f>
        <v>147262500</v>
      </c>
      <c r="P2" s="14" t="s">
        <v>118</v>
      </c>
    </row>
    <row r="3" spans="1:16" x14ac:dyDescent="0.3">
      <c r="A3" s="8" t="s">
        <v>407</v>
      </c>
      <c r="B3" s="9" t="s">
        <v>475</v>
      </c>
      <c r="C3" s="10" t="s">
        <v>477</v>
      </c>
      <c r="D3" s="11">
        <v>44005</v>
      </c>
      <c r="E3" s="11">
        <v>44005</v>
      </c>
      <c r="F3" s="31">
        <v>16964640</v>
      </c>
      <c r="G3" s="32">
        <v>0</v>
      </c>
      <c r="H3" s="8" t="s">
        <v>476</v>
      </c>
      <c r="I3" s="12">
        <v>830037278</v>
      </c>
      <c r="J3" s="13" t="s">
        <v>1437</v>
      </c>
      <c r="K3" s="14">
        <v>33</v>
      </c>
      <c r="L3" s="15" t="s">
        <v>1284</v>
      </c>
      <c r="M3" s="16">
        <v>108000</v>
      </c>
      <c r="N3" s="16">
        <f>M3*0.19</f>
        <v>20520</v>
      </c>
      <c r="O3" s="16">
        <f>K3*(M3+N3)*4</f>
        <v>16964640</v>
      </c>
      <c r="P3" s="14" t="s">
        <v>118</v>
      </c>
    </row>
    <row r="4" spans="1:16" x14ac:dyDescent="0.3">
      <c r="A4" s="8" t="s">
        <v>976</v>
      </c>
      <c r="B4" s="9" t="s">
        <v>983</v>
      </c>
      <c r="C4" s="10" t="s">
        <v>984</v>
      </c>
      <c r="D4" s="11">
        <v>43917</v>
      </c>
      <c r="E4" s="11">
        <v>43917</v>
      </c>
      <c r="F4" s="31">
        <v>56500000</v>
      </c>
      <c r="G4" s="32">
        <v>0</v>
      </c>
      <c r="H4" s="8" t="s">
        <v>985</v>
      </c>
      <c r="I4" s="12">
        <v>92640352</v>
      </c>
      <c r="J4" s="13" t="s">
        <v>986</v>
      </c>
      <c r="K4" s="14">
        <v>20</v>
      </c>
      <c r="L4" s="15" t="s">
        <v>1284</v>
      </c>
      <c r="M4" s="16">
        <v>250000</v>
      </c>
      <c r="N4" s="16">
        <f>M4*0.19</f>
        <v>47500</v>
      </c>
      <c r="O4" s="16">
        <f t="shared" ref="O4" si="0">K4*(M4+N4)</f>
        <v>5950000</v>
      </c>
      <c r="P4" s="14" t="s">
        <v>118</v>
      </c>
    </row>
  </sheetData>
  <dataValidations count="11">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B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I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E4">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 D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3:E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4">
      <formula1>-9223372036854770000</formula1>
      <formula2>9223372036854770000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I1" workbookViewId="0">
      <selection activeCell="I1" sqref="I1"/>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16</v>
      </c>
      <c r="B2" s="9" t="s">
        <v>80</v>
      </c>
      <c r="C2" s="10" t="s">
        <v>81</v>
      </c>
      <c r="D2" s="11">
        <v>44054</v>
      </c>
      <c r="E2" s="11">
        <v>44075</v>
      </c>
      <c r="F2" s="31">
        <v>37425024</v>
      </c>
      <c r="G2" s="32">
        <v>0</v>
      </c>
      <c r="H2" s="8" t="s">
        <v>82</v>
      </c>
      <c r="I2" s="12">
        <v>830053669</v>
      </c>
      <c r="J2" s="13" t="s">
        <v>1468</v>
      </c>
      <c r="K2" s="14">
        <v>78</v>
      </c>
      <c r="L2" s="15" t="s">
        <v>1284</v>
      </c>
      <c r="M2" s="16">
        <f>134400</f>
        <v>134400</v>
      </c>
      <c r="N2" s="16">
        <f>M2*19%</f>
        <v>25536</v>
      </c>
      <c r="O2" s="16">
        <f>K2*(M2+N2)*3</f>
        <v>37425024</v>
      </c>
      <c r="P2" s="14" t="s">
        <v>1373</v>
      </c>
    </row>
    <row r="3" spans="1:16" x14ac:dyDescent="0.3">
      <c r="A3" s="8" t="s">
        <v>153</v>
      </c>
      <c r="B3" s="9" t="s">
        <v>203</v>
      </c>
      <c r="C3" s="10" t="s">
        <v>204</v>
      </c>
      <c r="D3" s="11">
        <v>43969</v>
      </c>
      <c r="E3" s="11">
        <v>43969</v>
      </c>
      <c r="F3" s="31">
        <v>34947325</v>
      </c>
      <c r="G3" s="32">
        <v>0</v>
      </c>
      <c r="H3" s="8" t="s">
        <v>205</v>
      </c>
      <c r="I3" s="12">
        <v>830044858</v>
      </c>
      <c r="J3" s="13" t="s">
        <v>206</v>
      </c>
      <c r="K3" s="14">
        <v>7</v>
      </c>
      <c r="L3" s="15" t="s">
        <v>1284</v>
      </c>
      <c r="M3" s="16">
        <v>269000</v>
      </c>
      <c r="N3" s="16">
        <f>M3*0.19</f>
        <v>51110</v>
      </c>
      <c r="O3" s="16">
        <f t="shared" ref="O3:O5" si="0">K3*(M3+N3)</f>
        <v>2240770</v>
      </c>
      <c r="P3" s="14" t="s">
        <v>1373</v>
      </c>
    </row>
    <row r="4" spans="1:16" x14ac:dyDescent="0.3">
      <c r="A4" s="8" t="s">
        <v>153</v>
      </c>
      <c r="B4" s="9" t="s">
        <v>203</v>
      </c>
      <c r="C4" s="10" t="s">
        <v>204</v>
      </c>
      <c r="D4" s="11">
        <v>43969</v>
      </c>
      <c r="E4" s="11">
        <v>43969</v>
      </c>
      <c r="F4" s="31">
        <v>34947325</v>
      </c>
      <c r="G4" s="32">
        <v>0</v>
      </c>
      <c r="H4" s="8" t="s">
        <v>205</v>
      </c>
      <c r="I4" s="12">
        <v>830044858</v>
      </c>
      <c r="J4" s="13" t="s">
        <v>207</v>
      </c>
      <c r="K4" s="14">
        <v>46</v>
      </c>
      <c r="L4" s="15" t="s">
        <v>1284</v>
      </c>
      <c r="M4" s="16">
        <v>219000</v>
      </c>
      <c r="N4" s="16">
        <f>M4*0.19</f>
        <v>41610</v>
      </c>
      <c r="O4" s="16">
        <f t="shared" si="0"/>
        <v>11988060</v>
      </c>
      <c r="P4" s="14" t="s">
        <v>1373</v>
      </c>
    </row>
    <row r="5" spans="1:16" x14ac:dyDescent="0.3">
      <c r="A5" s="8" t="s">
        <v>153</v>
      </c>
      <c r="B5" s="9" t="s">
        <v>203</v>
      </c>
      <c r="C5" s="10" t="s">
        <v>204</v>
      </c>
      <c r="D5" s="11">
        <v>43969</v>
      </c>
      <c r="E5" s="11">
        <v>43969</v>
      </c>
      <c r="F5" s="31">
        <v>34947325</v>
      </c>
      <c r="G5" s="32">
        <v>0</v>
      </c>
      <c r="H5" s="8" t="s">
        <v>205</v>
      </c>
      <c r="I5" s="12">
        <v>830044858</v>
      </c>
      <c r="J5" s="13" t="s">
        <v>208</v>
      </c>
      <c r="K5" s="14">
        <v>53</v>
      </c>
      <c r="L5" s="15" t="s">
        <v>1284</v>
      </c>
      <c r="M5" s="16">
        <v>219000</v>
      </c>
      <c r="N5" s="16">
        <f>M5*0.19</f>
        <v>41610</v>
      </c>
      <c r="O5" s="16">
        <f t="shared" si="0"/>
        <v>13812330</v>
      </c>
      <c r="P5" s="14" t="s">
        <v>1373</v>
      </c>
    </row>
  </sheetData>
  <dataValidations count="6">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F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B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3:I4">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3:E4">
      <formula1>1900/1/1</formula1>
      <formula2>3000/1/1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A2" sqref="A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 min="17" max="17" width="11.88671875" bestFit="1" customWidth="1"/>
  </cols>
  <sheetData>
    <row r="1" spans="1:16" ht="43.2" x14ac:dyDescent="0.3">
      <c r="A1" s="1" t="s">
        <v>0</v>
      </c>
      <c r="B1" s="1" t="s">
        <v>1</v>
      </c>
      <c r="C1" s="1" t="s">
        <v>2</v>
      </c>
      <c r="D1" s="2" t="s">
        <v>3</v>
      </c>
      <c r="E1" s="2" t="s">
        <v>4</v>
      </c>
      <c r="F1" s="3" t="s">
        <v>5</v>
      </c>
      <c r="G1" s="3" t="s">
        <v>6</v>
      </c>
      <c r="H1" s="4" t="s">
        <v>7</v>
      </c>
      <c r="I1" s="5" t="s">
        <v>8</v>
      </c>
      <c r="J1" s="4" t="s">
        <v>9</v>
      </c>
      <c r="K1" s="23" t="s">
        <v>10</v>
      </c>
      <c r="L1" s="6" t="s">
        <v>11</v>
      </c>
      <c r="M1" s="7" t="s">
        <v>12</v>
      </c>
      <c r="N1" s="7" t="s">
        <v>13</v>
      </c>
      <c r="O1" s="7" t="s">
        <v>14</v>
      </c>
      <c r="P1" s="7" t="s">
        <v>15</v>
      </c>
    </row>
    <row r="2" spans="1:16" x14ac:dyDescent="0.3">
      <c r="A2" s="8" t="s">
        <v>693</v>
      </c>
      <c r="B2" s="9" t="s">
        <v>719</v>
      </c>
      <c r="C2" s="10" t="s">
        <v>720</v>
      </c>
      <c r="D2" s="11">
        <v>43999</v>
      </c>
      <c r="E2" s="11">
        <v>43999</v>
      </c>
      <c r="F2" s="31">
        <v>18939000</v>
      </c>
      <c r="G2" s="32">
        <v>0</v>
      </c>
      <c r="H2" s="8" t="s">
        <v>721</v>
      </c>
      <c r="I2" s="12">
        <v>900023386</v>
      </c>
      <c r="J2" s="13" t="s">
        <v>898</v>
      </c>
      <c r="K2" s="14">
        <f>420*4</f>
        <v>1680</v>
      </c>
      <c r="L2" s="15" t="s">
        <v>172</v>
      </c>
      <c r="M2" s="16">
        <v>4975</v>
      </c>
      <c r="N2" s="16">
        <v>0</v>
      </c>
      <c r="O2" s="16">
        <f t="shared" ref="O2:O3" si="0">K2*(M2+N2)</f>
        <v>8358000</v>
      </c>
      <c r="P2" s="14" t="s">
        <v>643</v>
      </c>
    </row>
    <row r="3" spans="1:16" x14ac:dyDescent="0.3">
      <c r="A3" s="8" t="s">
        <v>885</v>
      </c>
      <c r="B3" s="9" t="s">
        <v>895</v>
      </c>
      <c r="C3" s="17" t="s">
        <v>896</v>
      </c>
      <c r="D3" s="11">
        <v>44005</v>
      </c>
      <c r="E3" s="11">
        <v>44005</v>
      </c>
      <c r="F3" s="31">
        <v>7000000</v>
      </c>
      <c r="G3" s="32">
        <v>0</v>
      </c>
      <c r="H3" s="8" t="s">
        <v>897</v>
      </c>
      <c r="I3" s="12">
        <v>800165853</v>
      </c>
      <c r="J3" s="13" t="s">
        <v>898</v>
      </c>
      <c r="K3" s="14">
        <v>800</v>
      </c>
      <c r="L3" s="15" t="s">
        <v>172</v>
      </c>
      <c r="M3" s="16">
        <v>4700</v>
      </c>
      <c r="N3" s="16">
        <v>0</v>
      </c>
      <c r="O3" s="16">
        <f t="shared" si="0"/>
        <v>3760000</v>
      </c>
      <c r="P3" s="19" t="s">
        <v>643</v>
      </c>
    </row>
  </sheetData>
  <dataValidations count="2">
    <dataValidation type="date" allowBlank="1" showInputMessage="1" errorTitle="Entrada no válida" error="Por favor escriba una fecha válida (AAAA/MM/DD)" promptTitle="Ingrese una fecha (AAAA/MM/DD)" prompt=" Registre la fecha en la cual se SUSCRIBIÓ la orden (Formato AAAA/MM/DD)." sqref="D2:E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
      <formula1>1900/1/1</formula1>
      <formula2>3000/1/1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56</vt:i4>
      </vt:variant>
    </vt:vector>
  </HeadingPairs>
  <TitlesOfParts>
    <vt:vector size="56" baseType="lpstr">
      <vt:lpstr>POR ELEMENTO</vt:lpstr>
      <vt:lpstr>POR SECCIONAL</vt:lpstr>
      <vt:lpstr>CONSOLIDADO</vt:lpstr>
      <vt:lpstr>ADECUACIONES</vt:lpstr>
      <vt:lpstr>ALCOHOL</vt:lpstr>
      <vt:lpstr>ALCOHOL GLICERINADO</vt:lpstr>
      <vt:lpstr>ALQUILER COMPUTADORES</vt:lpstr>
      <vt:lpstr>ALQUILER ESCANNER</vt:lpstr>
      <vt:lpstr>AMONIO</vt:lpstr>
      <vt:lpstr>AREAS PROTEGIDAS</vt:lpstr>
      <vt:lpstr>ATOMIZADOR</vt:lpstr>
      <vt:lpstr>AUXILIARES ASEO</vt:lpstr>
      <vt:lpstr>BATAS</vt:lpstr>
      <vt:lpstr>BAYETILLAS</vt:lpstr>
      <vt:lpstr>BIDON</vt:lpstr>
      <vt:lpstr>BLANQUEADOR</vt:lpstr>
      <vt:lpstr>BOLSAS</vt:lpstr>
      <vt:lpstr>CANECAS</vt:lpstr>
      <vt:lpstr>CARETAS</vt:lpstr>
      <vt:lpstr>COMPUTADORES</vt:lpstr>
      <vt:lpstr>CONSUTORIA</vt:lpstr>
      <vt:lpstr>DESINFECTANTE</vt:lpstr>
      <vt:lpstr>DIADEMAS</vt:lpstr>
      <vt:lpstr>DISPENSADORES</vt:lpstr>
      <vt:lpstr>DIVISIONES</vt:lpstr>
      <vt:lpstr>ESCANNER DE MANO</vt:lpstr>
      <vt:lpstr>GAFAS</vt:lpstr>
      <vt:lpstr>GEL</vt:lpstr>
      <vt:lpstr>GUANES DE LATEX</vt:lpstr>
      <vt:lpstr>GUANTES DE NITRILO</vt:lpstr>
      <vt:lpstr>GUANTES NITILSAFE</vt:lpstr>
      <vt:lpstr>INSTALACION</vt:lpstr>
      <vt:lpstr>INTERCOMUNICADOR</vt:lpstr>
      <vt:lpstr>JABON LIQUIDO</vt:lpstr>
      <vt:lpstr>LAVAMANOS</vt:lpstr>
      <vt:lpstr>LECTORA CODIGO</vt:lpstr>
      <vt:lpstr>LICENCIA SW</vt:lpstr>
      <vt:lpstr>MONOGAFAS</vt:lpstr>
      <vt:lpstr>PAÑOS DE LIMPIEZA</vt:lpstr>
      <vt:lpstr>PAPEL HIG</vt:lpstr>
      <vt:lpstr>PARLANTES</vt:lpstr>
      <vt:lpstr>PILAS</vt:lpstr>
      <vt:lpstr>PROFESIONALES BASES DAT</vt:lpstr>
      <vt:lpstr>SEÑALIZACION</vt:lpstr>
      <vt:lpstr>SERV. DESINFECCION</vt:lpstr>
      <vt:lpstr>TAPABOCAS</vt:lpstr>
      <vt:lpstr>TAPETES DESINF.</vt:lpstr>
      <vt:lpstr>TERMOMETROS</vt:lpstr>
      <vt:lpstr>TOALLA PAPEL PAQ</vt:lpstr>
      <vt:lpstr>TOALLA PAPEL ROLLO</vt:lpstr>
      <vt:lpstr>TRAJES PROTECCION</vt:lpstr>
      <vt:lpstr>VIGIAS DE LA SALUD</vt:lpstr>
      <vt:lpstr>VIGILANCIA TEMPERATURA</vt:lpstr>
      <vt:lpstr>VINAGRE</vt:lpstr>
      <vt:lpstr>VINIPEL</vt:lpstr>
      <vt:lpstr>WEBCAM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2020-08-14T19:35:23Z</dcterms:created>
  <dcterms:modified xsi:type="dcterms:W3CDTF">2020-09-17T19:47:27Z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mmunozh@deaj.ramajudicial.gov.co</vt:lpwstr>
  </property>
  <property fmtid="{D5CDD505-2E9C-101B-9397-08002B2CF9AE}" pid="5" name="MSIP_Label_08d7dd68-c1dd-44d2-ba6c-4773849eac9b_SetDate">
    <vt:lpwstr>2020-08-24T13:30:32.5498065Z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