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8" windowHeight="8628" tabRatio="730" activeTab="0"/>
  </bookViews>
  <sheets>
    <sheet name="Con Abonos" sheetId="1" r:id="rId1"/>
    <sheet name="Sin Abonos" sheetId="2" r:id="rId2"/>
    <sheet name="intereses desde el 71" sheetId="3" r:id="rId3"/>
  </sheets>
  <externalReferences>
    <externalReference r:id="rId6"/>
  </externalReferences>
  <definedNames>
    <definedName name="Catmar_Ca">'Con Abonos'!$I$8</definedName>
    <definedName name="Catmar_Sa">'Sin Abonos'!$I$8</definedName>
    <definedName name="Colm_De">'Sin Abonos'!$A$18:$A$213</definedName>
    <definedName name="Colm_Des">'Con Abonos'!$A$18:$A$175</definedName>
    <definedName name="Colm_Has">'Con Abonos'!$B$18:$B$175</definedName>
    <definedName name="Colm_Hasta">'Sin Abonos'!$B$18:$B$213</definedName>
    <definedName name="Comercial_Ca">'Con Abonos'!$H$11</definedName>
    <definedName name="Comercial_Sa">'Sin Abonos'!$H$11</definedName>
    <definedName name="Consumo_Ca">'Con Abonos'!$H$12</definedName>
    <definedName name="Consumo_Sa">'Sin Abonos'!$H$12</definedName>
    <definedName name="días_Ca">'Con Abonos'!$H$19:$H$174</definedName>
    <definedName name="Días_Sa">'Sin Abonos'!$H$19:$H$213</definedName>
    <definedName name="Días_Uc">#REF!</definedName>
    <definedName name="Fech_Des">#REF!</definedName>
    <definedName name="Fecha_De">'Sin Abonos'!$A$18</definedName>
    <definedName name="Fecha_Fin">'Con Abonos'!$B$18</definedName>
    <definedName name="Fecha_Hasta">'Sin Abonos'!$B$18</definedName>
    <definedName name="Fecha_Pri">'Con Abonos'!$A$18</definedName>
    <definedName name="Fila_Fin_Cm">IF(Fecha_des,Fila_Prim_Cm+No_de_Períodos_Cm,Fila_Prim_Cm)</definedName>
    <definedName name="Fila_Fin_Sa">IF(Fecha_De,Fila_Prim_Sa+No_de_Períodos_Sa,Fila_Prim_Sa)</definedName>
    <definedName name="Fila_Fin_Uc">IF(Fech_Des,Fila_Prima_Uc+No_de_Períodos_Uc,Fila_Prima_Uc)</definedName>
    <definedName name="Fila_Prim_Sa">ROW('Sin Abonos'!$18:$18)</definedName>
    <definedName name="Fila_Prima_Uc">ROW(#REF!)</definedName>
    <definedName name="Header_Row">ROW('Con Abonos'!$18:$18)</definedName>
    <definedName name="Interest_Rate">'[1]INTERESES'!$D$9</definedName>
    <definedName name="Last_Row">IF(Fecha_Pri,Header_Row+No_de_Períodos,Header_Row)</definedName>
    <definedName name="Microcréd_Ca">'Con Abonos'!$H$13</definedName>
    <definedName name="Microcréd_Sa">'Sin Abonos'!$H$13</definedName>
    <definedName name="Mora_Fin">'Con Abonos'!$G$10</definedName>
    <definedName name="Mora_Final">'Sin Abonos'!$G$10</definedName>
    <definedName name="No_de_Períodos">MATCH(0.01,días_Ca,-1)</definedName>
    <definedName name="No_de_Períodos_Cm">MATCH(0.01,Días_Cm,-1)</definedName>
    <definedName name="No_de_Períodos_Sa">MATCH(0.01,Días_Sa,-1)</definedName>
    <definedName name="No_de_Períodos_Uc">MATCH(0.01,Días_Uc,-1)</definedName>
    <definedName name="Nuevo_Int_Ca">'Con Abonos'!$I$9</definedName>
    <definedName name="Nuevo_Int_Sa">'Sin Abonos'!$I$9</definedName>
    <definedName name="Primar_Ca">'Con Abonos'!$I$7</definedName>
    <definedName name="Primar_Sa">'Sin Abonos'!$I$7</definedName>
    <definedName name="Sgn_Int_Ca">'Con Abonos'!$I$10</definedName>
    <definedName name="SgN_Int_Sa">'Sin Abonos'!$I$10</definedName>
  </definedNames>
  <calcPr fullCalcOnLoad="1"/>
</workbook>
</file>

<file path=xl/comments1.xml><?xml version="1.0" encoding="utf-8"?>
<comments xmlns="http://schemas.openxmlformats.org/spreadsheetml/2006/main">
  <authors>
    <author>RAML</author>
  </authors>
  <commentList>
    <comment ref="E7" authorId="0">
      <text>
        <r>
          <rPr>
            <sz val="9"/>
            <rFont val="Tahoma"/>
            <family val="2"/>
          </rPr>
          <t>No digite ni borre aquí,
contiene fórmula.</t>
        </r>
      </text>
    </comment>
    <comment ref="D7" authorId="0">
      <text>
        <r>
          <rPr>
            <sz val="9"/>
            <rFont val="Tahoma"/>
            <family val="2"/>
          </rPr>
          <t>Digite aquí la tasa efectiva anual pactada o reconocida. En la celda de la derecha aparecerá su conversión a  mensual.</t>
        </r>
      </text>
    </comment>
    <comment ref="D10" authorId="0">
      <text>
        <r>
          <rPr>
            <sz val="9"/>
            <rFont val="Tahoma"/>
            <family val="2"/>
          </rPr>
          <t>Digite aquí la tasa efectiva anual pactada o reconocida. En la celda de la derecha aparecerá su conversión a  mensual.</t>
        </r>
      </text>
    </comment>
    <comment ref="D8" authorId="0">
      <text>
        <r>
          <rPr>
            <sz val="9"/>
            <rFont val="Tahoma"/>
            <family val="2"/>
          </rPr>
          <t>Digite aquí la tasa
mensual pactada o reconocida.</t>
        </r>
      </text>
    </comment>
    <comment ref="E10" authorId="0">
      <text>
        <r>
          <rPr>
            <sz val="9"/>
            <rFont val="Tahoma"/>
            <family val="2"/>
          </rPr>
          <t>No digite ni borre aquí,
contiene fórmula.</t>
        </r>
      </text>
    </comment>
    <comment ref="G7" authorId="0">
      <text>
        <r>
          <rPr>
            <sz val="9"/>
            <rFont val="Tahoma"/>
            <family val="2"/>
          </rPr>
          <t>Digite aquí la fecha hasta la cual se liquida intereses de plazo.</t>
        </r>
      </text>
    </comment>
    <comment ref="G10" authorId="0">
      <text>
        <r>
          <rPr>
            <sz val="9"/>
            <rFont val="Tahoma"/>
            <family val="2"/>
          </rPr>
          <t>Si se requiere liquidar hasta otra fecha (anterior o posterior) digítela.</t>
        </r>
      </text>
    </comment>
    <comment ref="H11" authorId="0">
      <text>
        <r>
          <rPr>
            <sz val="9"/>
            <rFont val="Tahoma"/>
            <family val="2"/>
          </rPr>
          <t xml:space="preserve">Marque x segùn clase de crédito. </t>
        </r>
      </text>
    </comment>
    <comment ref="I7" authorId="0">
      <text>
        <r>
          <rPr>
            <sz val="9"/>
            <rFont val="Tahoma"/>
            <family val="2"/>
          </rPr>
          <t>No borre estas celdas, contienen fechas de cambios del IBC.</t>
        </r>
      </text>
    </comment>
    <comment ref="A18" authorId="0">
      <text>
        <r>
          <rPr>
            <sz val="9"/>
            <rFont val="Tahoma"/>
            <family val="2"/>
          </rPr>
          <t>Digite en esta celda la fecha inicial de la liquidaciòn.</t>
        </r>
      </text>
    </comment>
    <comment ref="D11" authorId="0">
      <text>
        <r>
          <rPr>
            <sz val="9"/>
            <rFont val="Tahoma"/>
            <family val="2"/>
          </rPr>
          <t>Digite aquí la tasa
mensual pactada o reconocida.</t>
        </r>
      </text>
    </comment>
    <comment ref="D18" authorId="0">
      <text>
        <r>
          <rPr>
            <b/>
            <sz val="8"/>
            <rFont val="Tahoma"/>
            <family val="2"/>
          </rPr>
          <t>Para liquidar con sólo el IBC digite 1 en esta celda.</t>
        </r>
      </text>
    </comment>
  </commentList>
</comments>
</file>

<file path=xl/comments2.xml><?xml version="1.0" encoding="utf-8"?>
<comments xmlns="http://schemas.openxmlformats.org/spreadsheetml/2006/main">
  <authors>
    <author>RAML</author>
  </authors>
  <commentList>
    <comment ref="I7" authorId="0">
      <text>
        <r>
          <rPr>
            <sz val="9"/>
            <rFont val="Tahoma"/>
            <family val="2"/>
          </rPr>
          <t>No borre estas celdas, contienen fechas de cambios del IBC.</t>
        </r>
      </text>
    </comment>
    <comment ref="G7" authorId="0">
      <text>
        <r>
          <rPr>
            <sz val="9"/>
            <rFont val="Tahoma"/>
            <family val="2"/>
          </rPr>
          <t>Digite aquí la fecha hasta la cual se liquida intereses de plazo.</t>
        </r>
      </text>
    </comment>
    <comment ref="G10" authorId="0">
      <text>
        <r>
          <rPr>
            <sz val="9"/>
            <rFont val="Tahoma"/>
            <family val="2"/>
          </rPr>
          <t>Si se requiere liquidar hasta otra fecha (anterior o posterior) digítela.</t>
        </r>
      </text>
    </comment>
    <comment ref="H11" authorId="0">
      <text>
        <r>
          <rPr>
            <sz val="9"/>
            <rFont val="Tahoma"/>
            <family val="2"/>
          </rPr>
          <t xml:space="preserve">Marque x segùn clase de crédito. </t>
        </r>
      </text>
    </comment>
    <comment ref="E10" authorId="0">
      <text>
        <r>
          <rPr>
            <sz val="9"/>
            <rFont val="Tahoma"/>
            <family val="2"/>
          </rPr>
          <t>No digite ni borre aquí,
contiene fórmula.</t>
        </r>
      </text>
    </comment>
    <comment ref="D7" authorId="0">
      <text>
        <r>
          <rPr>
            <sz val="9"/>
            <rFont val="Tahoma"/>
            <family val="2"/>
          </rPr>
          <t>Digite aquí la tasa efectiva anual pactada o reconocida. En la celda de la derecha aparecerá su conversión a  mensual.</t>
        </r>
      </text>
    </comment>
    <comment ref="D8" authorId="0">
      <text>
        <r>
          <rPr>
            <sz val="9"/>
            <rFont val="Tahoma"/>
            <family val="2"/>
          </rPr>
          <t>Digite aquí la tasa
mensual pactada o reconocida.</t>
        </r>
      </text>
    </comment>
    <comment ref="D10" authorId="0">
      <text>
        <r>
          <rPr>
            <sz val="9"/>
            <rFont val="Tahoma"/>
            <family val="2"/>
          </rPr>
          <t>Digite aquí la tasa efectiva anual pactada o reconocida. En la celda de la derecha aparecerá su conversión a  mensual.</t>
        </r>
      </text>
    </comment>
    <comment ref="D11" authorId="0">
      <text>
        <r>
          <rPr>
            <sz val="9"/>
            <rFont val="Tahoma"/>
            <family val="2"/>
          </rPr>
          <t>Digite aquí la tasa
mensual pactada o reconocida.</t>
        </r>
      </text>
    </comment>
    <comment ref="A18" authorId="0">
      <text>
        <r>
          <rPr>
            <sz val="9"/>
            <rFont val="Tahoma"/>
            <family val="2"/>
          </rPr>
          <t>Digite en esta celda la fecha inicial de la liquidaciòn.</t>
        </r>
      </text>
    </comment>
    <comment ref="E7" authorId="0">
      <text>
        <r>
          <rPr>
            <sz val="9"/>
            <rFont val="Tahoma"/>
            <family val="2"/>
          </rPr>
          <t>No digite ni borre aquí,
contiene fórmula.</t>
        </r>
      </text>
    </comment>
    <comment ref="D18" authorId="0">
      <text>
        <r>
          <rPr>
            <b/>
            <sz val="8"/>
            <rFont val="Tahoma"/>
            <family val="2"/>
          </rPr>
          <t>Para liquidar con sólo el IBC digite 1 en esta celda.</t>
        </r>
      </text>
    </comment>
  </commentList>
</comments>
</file>

<file path=xl/comments3.xml><?xml version="1.0" encoding="utf-8"?>
<comments xmlns="http://schemas.openxmlformats.org/spreadsheetml/2006/main">
  <authors>
    <author>DEAJ</author>
  </authors>
  <commentList>
    <comment ref="E1" authorId="0">
      <text>
        <r>
          <rPr>
            <sz val="8"/>
            <rFont val="Tahoma"/>
            <family val="2"/>
          </rPr>
          <t xml:space="preserve">Toda fórmula debe comenzar con el signo =  de lo contrario no opera
</t>
        </r>
      </text>
    </comment>
    <comment ref="E2" authorId="0">
      <text>
        <r>
          <rPr>
            <sz val="8"/>
            <rFont val="Tahoma"/>
            <family val="2"/>
          </rPr>
          <t>El signo ^ se obtiene digitando la tecla Alt, seguida del 94 del teclado numérico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<sst xmlns="http://schemas.openxmlformats.org/spreadsheetml/2006/main" count="115" uniqueCount="84">
  <si>
    <t>LIQUIDACIÓN DEL CRÉDITO</t>
  </si>
  <si>
    <t>Brio. Cte.</t>
  </si>
  <si>
    <t>LIQUIDACIÓN DE CRÉDITO</t>
  </si>
  <si>
    <t>Tasa  mensual pactada             &gt;&gt;&gt;</t>
  </si>
  <si>
    <t>Aplicable</t>
  </si>
  <si>
    <t>Plazo Hasta</t>
  </si>
  <si>
    <t>Capital liquidable</t>
  </si>
  <si>
    <t>Inserte en esta columna</t>
  </si>
  <si>
    <t>capitales, cuotas u otros</t>
  </si>
  <si>
    <r>
      <t>Máxima Mensual</t>
    </r>
    <r>
      <rPr>
        <b/>
        <sz val="10"/>
        <rFont val="Arial"/>
        <family val="2"/>
      </rPr>
      <t xml:space="preserve"> </t>
    </r>
  </si>
  <si>
    <t>Autorizada</t>
  </si>
  <si>
    <t>Efec. Anual</t>
  </si>
  <si>
    <t>Capital Liquidable</t>
  </si>
  <si>
    <t>días</t>
  </si>
  <si>
    <t>Liq Intereses</t>
  </si>
  <si>
    <t>Saldo de Capital más Intereses</t>
  </si>
  <si>
    <t>Valor</t>
  </si>
  <si>
    <t>Folio</t>
  </si>
  <si>
    <t>SALDO DE CAPITAL</t>
  </si>
  <si>
    <t>SALDO DE INTERESES</t>
  </si>
  <si>
    <t>TOTAL CAPITAL MÁS INTERESES ADEUDADOS</t>
  </si>
  <si>
    <r>
      <t xml:space="preserve">Mora Hasta </t>
    </r>
    <r>
      <rPr>
        <b/>
        <sz val="8"/>
        <rFont val="Arial"/>
        <family val="2"/>
      </rPr>
      <t>(</t>
    </r>
    <r>
      <rPr>
        <sz val="8"/>
        <rFont val="Arial"/>
        <family val="2"/>
      </rPr>
      <t>Hoy)</t>
    </r>
  </si>
  <si>
    <t>Saldo de Intereses</t>
  </si>
  <si>
    <t>Comercial</t>
  </si>
  <si>
    <t>Consumo</t>
  </si>
  <si>
    <t>x</t>
  </si>
  <si>
    <t>Resultados &gt;&gt;</t>
  </si>
  <si>
    <t>Días</t>
  </si>
  <si>
    <t>Plazo TEA pactada, a mensual &gt;&gt;&gt;</t>
  </si>
  <si>
    <t>Mora TEA pactada, a mensual &gt;&gt;&gt;</t>
  </si>
  <si>
    <t>Resultado tasa pactada o pedida &gt;&gt;</t>
  </si>
  <si>
    <t>Microc u Ot</t>
  </si>
  <si>
    <t>Microc u Otros</t>
  </si>
  <si>
    <t>Saldo de capital, Fol.  &gt;&gt;</t>
  </si>
  <si>
    <t>Abonos</t>
  </si>
  <si>
    <t>Desde</t>
  </si>
  <si>
    <t>Hasta</t>
  </si>
  <si>
    <t>Intereses</t>
  </si>
  <si>
    <t>Vigencia</t>
  </si>
  <si>
    <t>Tasa</t>
  </si>
  <si>
    <t>1,5</t>
  </si>
  <si>
    <t>INTERESES ANTERIORES</t>
  </si>
  <si>
    <t>Tasa efectiva anual a mensual &gt;&gt;&gt;&gt;</t>
  </si>
  <si>
    <t>SI(D1="","", POTENCIA((1+D1),(1/12))-1)</t>
  </si>
  <si>
    <t>Efectiva</t>
  </si>
  <si>
    <t>O bien, SI(D1="","",((1+D1)^(1/12))-1)</t>
  </si>
  <si>
    <t>Mensual</t>
  </si>
  <si>
    <t>Fórmulas</t>
  </si>
  <si>
    <r>
      <t>La fórmula original para convertir tasa efectiva anual a tasa  mensual es:</t>
    </r>
    <r>
      <rPr>
        <b/>
        <i/>
        <sz val="10"/>
        <rFont val="Arial"/>
        <family val="2"/>
      </rPr>
      <t>Raíz 12 de (1+tea) -1:</t>
    </r>
  </si>
  <si>
    <t>^ = Alt 94</t>
  </si>
  <si>
    <t>tm=</t>
  </si>
  <si>
    <t xml:space="preserve">    1+tea   -1</t>
  </si>
  <si>
    <t xml:space="preserve">      ó sea:</t>
  </si>
  <si>
    <t>(1+tea)^(1/12)-1</t>
  </si>
  <si>
    <r>
      <t>En excel se reemplaza</t>
    </r>
    <r>
      <rPr>
        <b/>
        <sz val="10"/>
        <rFont val="Arial"/>
        <family val="2"/>
      </rPr>
      <t xml:space="preserve"> tea</t>
    </r>
    <r>
      <rPr>
        <sz val="10"/>
        <rFont val="Arial"/>
        <family val="2"/>
      </rPr>
      <t xml:space="preserve"> por el nombre de la celda en la cual se encuentra.</t>
    </r>
  </si>
  <si>
    <r>
      <t>Art. 1617 C. C.</t>
    </r>
    <r>
      <rPr>
        <sz val="10"/>
        <rFont val="Arial"/>
        <family val="2"/>
      </rPr>
      <t>: El interés legal se fija en 6% anual. Los intereses atrasados no producen interés. La regla anterior se aplica a toda especie de rentas, cánones y pensiones perióidcas.</t>
    </r>
  </si>
  <si>
    <t>La Superbancaria certificó intereses dos veces en marzo/99, como sigue: 1 al 14 y 15 al 31</t>
  </si>
  <si>
    <t>Para agosto 4/99 entra en vigencia el art. 111 de la Ley 510: (B/rio Cte. *1.5)</t>
  </si>
  <si>
    <t>VIGENCIA</t>
  </si>
  <si>
    <t xml:space="preserve">Brio. Cte. </t>
  </si>
  <si>
    <t>Límite Usura 305</t>
  </si>
  <si>
    <t>DESDE</t>
  </si>
  <si>
    <t>HASTA</t>
  </si>
  <si>
    <t>Efect. Anual</t>
  </si>
  <si>
    <t>Efectiva Anual 1.5</t>
  </si>
  <si>
    <t>Bimensual</t>
  </si>
  <si>
    <t>Trimestral</t>
  </si>
  <si>
    <t>Semestral</t>
  </si>
  <si>
    <t>MAXIMA</t>
  </si>
  <si>
    <t>www.superfinanciera.gov.co</t>
  </si>
  <si>
    <t xml:space="preserve">RESULTADOS </t>
  </si>
  <si>
    <t>SALDO DE INTERESES EN EL PERIODO LIQUIDADO</t>
  </si>
  <si>
    <t>ABONOS</t>
  </si>
  <si>
    <t>CAP+ INTERES</t>
  </si>
  <si>
    <t>INTERES</t>
  </si>
  <si>
    <t>INT - ABONOS</t>
  </si>
  <si>
    <t xml:space="preserve"> INTERESES ANTERIORES</t>
  </si>
  <si>
    <t>COSTAS</t>
  </si>
  <si>
    <t>INTERESES</t>
  </si>
  <si>
    <t xml:space="preserve"> </t>
  </si>
  <si>
    <t>ELIANA MARIA LOPEZ GOMEZ</t>
  </si>
  <si>
    <t xml:space="preserve">SECRETARIA </t>
  </si>
  <si>
    <t>JUZGADO PRIMERO CIVIL MUNICIPAL RIONEGRO ANTIOQUIA</t>
  </si>
  <si>
    <t>SALDO A FAVOR DEL DEMANDADO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</si>
</sst>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_(&quot;C$&quot;* #,##0_);_(&quot;C$&quot;* \(#,##0\);_(&quot;C$&quot;* &quot;-&quot;_);_(@_)"/>
    <numFmt numFmtId="187" formatCode="_(&quot;C$&quot;* #,##0.00_);_(&quot;C$&quot;* \(#,##0.00\);_(&quot;C$&quot;* &quot;-&quot;??_);_(@_)"/>
    <numFmt numFmtId="188" formatCode="&quot;$&quot;#,##0.00;[Red]&quot;$&quot;#,##0.00"/>
    <numFmt numFmtId="189" formatCode="0.000%"/>
    <numFmt numFmtId="190" formatCode="[$$-80A]#,##0.00"/>
    <numFmt numFmtId="191" formatCode="#,##0.00_);[Red]&quot;Devol&quot;\ \(#,##0.00\)"/>
    <numFmt numFmtId="192" formatCode="#,##0.00;[Red]\(#,##0.00\)"/>
    <numFmt numFmtId="193" formatCode="#,##0.00\ ;[Red]\(#,##0.00\)"/>
    <numFmt numFmtId="194" formatCode="#,##0.00_);[Red]&quot;D&quot;\ \(#,##0.00\)"/>
    <numFmt numFmtId="195" formatCode="_([$€]* #,##0.00_);_([$€]* \(#,##0.00\);_([$€]* &quot;-&quot;??_);_(@_)"/>
    <numFmt numFmtId="196" formatCode="mmm\-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;[Red]#,##0.00"/>
  </numFmts>
  <fonts count="50">
    <font>
      <sz val="10"/>
      <name val="arial"/>
      <family val="0"/>
    </font>
    <font>
      <b/>
      <i/>
      <sz val="13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i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0"/>
      <color indexed="41"/>
      <name val="Times New Roman"/>
      <family val="1"/>
    </font>
    <font>
      <i/>
      <sz val="8"/>
      <color indexed="9"/>
      <name val="Arial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4" fillId="20" borderId="0" applyNumberFormat="0" applyBorder="0" applyAlignment="0" applyProtection="0"/>
    <xf numFmtId="0" fontId="30" fillId="21" borderId="1" applyNumberFormat="0" applyAlignment="0" applyProtection="0"/>
    <xf numFmtId="0" fontId="32" fillId="22" borderId="2" applyNumberFormat="0" applyAlignment="0" applyProtection="0"/>
    <xf numFmtId="0" fontId="31" fillId="0" borderId="3" applyNumberFormat="0" applyFill="0" applyAlignment="0" applyProtection="0"/>
    <xf numFmtId="0" fontId="21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2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34" borderId="0" applyNumberFormat="0" applyBorder="0" applyAlignment="0" applyProtection="0"/>
    <xf numFmtId="0" fontId="35" fillId="30" borderId="0" applyNumberFormat="0" applyBorder="0" applyAlignment="0" applyProtection="0"/>
    <xf numFmtId="0" fontId="35" fillId="35" borderId="0" applyNumberFormat="0" applyBorder="0" applyAlignment="0" applyProtection="0"/>
    <xf numFmtId="0" fontId="34" fillId="35" borderId="0" applyNumberFormat="0" applyBorder="0" applyAlignment="0" applyProtection="0"/>
    <xf numFmtId="0" fontId="28" fillId="35" borderId="1" applyNumberFormat="0" applyAlignment="0" applyProtection="0"/>
    <xf numFmtId="19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36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37" borderId="0" applyNumberFormat="0" applyBorder="0" applyAlignment="0" applyProtection="0"/>
    <xf numFmtId="0" fontId="2" fillId="30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0" fontId="2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5" fontId="5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10" fontId="2" fillId="38" borderId="11" xfId="0" applyNumberFormat="1" applyFont="1" applyFill="1" applyBorder="1" applyAlignment="1">
      <alignment horizontal="right"/>
    </xf>
    <xf numFmtId="10" fontId="2" fillId="38" borderId="11" xfId="77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71" applyNumberFormat="1" applyFont="1" applyBorder="1" applyAlignment="1">
      <alignment horizontal="right"/>
    </xf>
    <xf numFmtId="4" fontId="2" fillId="0" borderId="0" xfId="71" applyNumberFormat="1" applyFont="1" applyFill="1" applyBorder="1" applyAlignment="1">
      <alignment horizontal="right"/>
    </xf>
    <xf numFmtId="4" fontId="2" fillId="0" borderId="0" xfId="71" applyNumberFormat="1" applyFont="1" applyAlignment="1">
      <alignment/>
    </xf>
    <xf numFmtId="4" fontId="13" fillId="0" borderId="0" xfId="71" applyNumberFormat="1" applyFont="1" applyFill="1" applyBorder="1" applyAlignment="1">
      <alignment horizontal="right"/>
    </xf>
    <xf numFmtId="4" fontId="13" fillId="0" borderId="0" xfId="71" applyNumberFormat="1" applyFont="1" applyBorder="1" applyAlignment="1">
      <alignment horizontal="right"/>
    </xf>
    <xf numFmtId="0" fontId="13" fillId="0" borderId="10" xfId="0" applyFont="1" applyBorder="1" applyAlignment="1">
      <alignment/>
    </xf>
    <xf numFmtId="4" fontId="12" fillId="0" borderId="0" xfId="0" applyNumberFormat="1" applyFont="1" applyAlignment="1">
      <alignment horizontal="justify" vertical="top"/>
    </xf>
    <xf numFmtId="4" fontId="13" fillId="0" borderId="0" xfId="0" applyNumberFormat="1" applyFont="1" applyBorder="1" applyAlignment="1">
      <alignment horizontal="right"/>
    </xf>
    <xf numFmtId="0" fontId="0" fillId="0" borderId="0" xfId="0" applyAlignment="1">
      <alignment horizontal="justify" vertical="justify"/>
    </xf>
    <xf numFmtId="0" fontId="5" fillId="0" borderId="0" xfId="0" applyFont="1" applyFill="1" applyBorder="1" applyAlignment="1">
      <alignment horizontal="left"/>
    </xf>
    <xf numFmtId="185" fontId="2" fillId="0" borderId="0" xfId="71" applyFont="1" applyBorder="1" applyAlignment="1">
      <alignment horizontal="right"/>
    </xf>
    <xf numFmtId="0" fontId="14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top"/>
    </xf>
    <xf numFmtId="4" fontId="0" fillId="0" borderId="0" xfId="71" applyNumberFormat="1" applyFill="1" applyAlignment="1">
      <alignment/>
    </xf>
    <xf numFmtId="4" fontId="0" fillId="0" borderId="0" xfId="71" applyNumberFormat="1" applyAlignment="1">
      <alignment/>
    </xf>
    <xf numFmtId="0" fontId="10" fillId="38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/>
    </xf>
    <xf numFmtId="185" fontId="16" fillId="0" borderId="0" xfId="7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justify"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4" fontId="16" fillId="0" borderId="0" xfId="71" applyNumberFormat="1" applyFont="1" applyFill="1" applyAlignment="1">
      <alignment/>
    </xf>
    <xf numFmtId="4" fontId="16" fillId="0" borderId="0" xfId="71" applyNumberFormat="1" applyFont="1" applyAlignment="1">
      <alignment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189" fontId="2" fillId="0" borderId="0" xfId="0" applyNumberFormat="1" applyFont="1" applyBorder="1" applyAlignment="1">
      <alignment horizontal="right"/>
    </xf>
    <xf numFmtId="189" fontId="2" fillId="0" borderId="0" xfId="0" applyNumberFormat="1" applyFont="1" applyFill="1" applyBorder="1" applyAlignment="1">
      <alignment horizontal="right"/>
    </xf>
    <xf numFmtId="189" fontId="18" fillId="0" borderId="0" xfId="0" applyNumberFormat="1" applyFont="1" applyAlignment="1">
      <alignment horizontal="center"/>
    </xf>
    <xf numFmtId="189" fontId="14" fillId="0" borderId="0" xfId="0" applyNumberFormat="1" applyFont="1" applyAlignment="1">
      <alignment horizontal="justify" vertical="top"/>
    </xf>
    <xf numFmtId="189" fontId="3" fillId="0" borderId="0" xfId="0" applyNumberFormat="1" applyFont="1" applyBorder="1" applyAlignment="1">
      <alignment horizontal="right"/>
    </xf>
    <xf numFmtId="189" fontId="2" fillId="0" borderId="0" xfId="0" applyNumberFormat="1" applyFont="1" applyAlignment="1">
      <alignment/>
    </xf>
    <xf numFmtId="189" fontId="0" fillId="0" borderId="0" xfId="0" applyNumberFormat="1" applyAlignment="1">
      <alignment/>
    </xf>
    <xf numFmtId="189" fontId="16" fillId="0" borderId="0" xfId="0" applyNumberFormat="1" applyFont="1" applyAlignment="1">
      <alignment/>
    </xf>
    <xf numFmtId="189" fontId="16" fillId="0" borderId="0" xfId="0" applyNumberFormat="1" applyFont="1" applyAlignment="1">
      <alignment/>
    </xf>
    <xf numFmtId="189" fontId="16" fillId="0" borderId="0" xfId="0" applyNumberFormat="1" applyFont="1" applyAlignment="1">
      <alignment horizontal="justify"/>
    </xf>
    <xf numFmtId="189" fontId="15" fillId="0" borderId="0" xfId="0" applyNumberFormat="1" applyFont="1" applyAlignment="1">
      <alignment/>
    </xf>
    <xf numFmtId="0" fontId="2" fillId="0" borderId="0" xfId="0" applyFont="1" applyAlignment="1">
      <alignment horizontal="justify" vertical="top"/>
    </xf>
    <xf numFmtId="0" fontId="16" fillId="0" borderId="0" xfId="0" applyFont="1" applyBorder="1" applyAlignment="1">
      <alignment horizontal="justify"/>
    </xf>
    <xf numFmtId="15" fontId="19" fillId="38" borderId="13" xfId="71" applyNumberFormat="1" applyFont="1" applyFill="1" applyBorder="1" applyAlignment="1">
      <alignment/>
    </xf>
    <xf numFmtId="4" fontId="4" fillId="0" borderId="11" xfId="0" applyNumberFormat="1" applyFont="1" applyBorder="1" applyAlignment="1">
      <alignment horizontal="center" vertical="center" wrapText="1"/>
    </xf>
    <xf numFmtId="189" fontId="11" fillId="0" borderId="11" xfId="0" applyNumberFormat="1" applyFont="1" applyBorder="1" applyAlignment="1">
      <alignment horizontal="center" vertical="center" wrapText="1"/>
    </xf>
    <xf numFmtId="185" fontId="4" fillId="39" borderId="11" xfId="7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185" fontId="2" fillId="0" borderId="0" xfId="71" applyFont="1" applyFill="1" applyBorder="1" applyAlignment="1">
      <alignment horizontal="right"/>
    </xf>
    <xf numFmtId="185" fontId="2" fillId="0" borderId="0" xfId="71" applyFont="1" applyAlignment="1">
      <alignment horizontal="right"/>
    </xf>
    <xf numFmtId="189" fontId="14" fillId="0" borderId="0" xfId="0" applyNumberFormat="1" applyFont="1" applyFill="1" applyAlignment="1">
      <alignment horizontal="left" vertical="top"/>
    </xf>
    <xf numFmtId="189" fontId="14" fillId="0" borderId="0" xfId="0" applyNumberFormat="1" applyFont="1" applyFill="1" applyAlignment="1">
      <alignment horizontal="justify" vertical="top"/>
    </xf>
    <xf numFmtId="0" fontId="2" fillId="0" borderId="0" xfId="0" applyFont="1" applyFill="1" applyBorder="1" applyAlignment="1">
      <alignment horizontal="right"/>
    </xf>
    <xf numFmtId="191" fontId="11" fillId="0" borderId="11" xfId="0" applyNumberFormat="1" applyFont="1" applyBorder="1" applyAlignment="1">
      <alignment horizontal="center" vertical="center"/>
    </xf>
    <xf numFmtId="185" fontId="11" fillId="0" borderId="11" xfId="71" applyFont="1" applyBorder="1" applyAlignment="1">
      <alignment horizontal="center" vertical="center"/>
    </xf>
    <xf numFmtId="191" fontId="13" fillId="0" borderId="0" xfId="0" applyNumberFormat="1" applyFont="1" applyFill="1" applyBorder="1" applyAlignment="1">
      <alignment/>
    </xf>
    <xf numFmtId="40" fontId="13" fillId="0" borderId="0" xfId="0" applyNumberFormat="1" applyFont="1" applyFill="1" applyBorder="1" applyAlignment="1">
      <alignment horizontal="right"/>
    </xf>
    <xf numFmtId="0" fontId="13" fillId="0" borderId="11" xfId="71" applyNumberFormat="1" applyFont="1" applyFill="1" applyBorder="1" applyAlignment="1">
      <alignment horizontal="center"/>
    </xf>
    <xf numFmtId="185" fontId="3" fillId="0" borderId="0" xfId="7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85" fontId="0" fillId="0" borderId="0" xfId="71" applyFill="1" applyAlignment="1">
      <alignment/>
    </xf>
    <xf numFmtId="185" fontId="16" fillId="0" borderId="0" xfId="71" applyFont="1" applyFill="1" applyAlignment="1">
      <alignment/>
    </xf>
    <xf numFmtId="185" fontId="0" fillId="0" borderId="0" xfId="71" applyAlignment="1">
      <alignment/>
    </xf>
    <xf numFmtId="185" fontId="14" fillId="0" borderId="0" xfId="71" applyFont="1" applyAlignment="1">
      <alignment horizontal="justify" vertical="top"/>
    </xf>
    <xf numFmtId="40" fontId="36" fillId="0" borderId="0" xfId="0" applyNumberFormat="1" applyFont="1" applyAlignment="1">
      <alignment horizontal="right"/>
    </xf>
    <xf numFmtId="10" fontId="0" fillId="0" borderId="0" xfId="77" applyNumberFormat="1" applyFont="1" applyAlignment="1">
      <alignment/>
    </xf>
    <xf numFmtId="10" fontId="2" fillId="0" borderId="0" xfId="77" applyNumberFormat="1" applyFont="1" applyBorder="1" applyAlignment="1">
      <alignment horizontal="right"/>
    </xf>
    <xf numFmtId="189" fontId="2" fillId="0" borderId="14" xfId="0" applyNumberFormat="1" applyFont="1" applyFill="1" applyBorder="1" applyAlignment="1">
      <alignment horizontal="right"/>
    </xf>
    <xf numFmtId="15" fontId="3" fillId="38" borderId="13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right"/>
    </xf>
    <xf numFmtId="10" fontId="2" fillId="0" borderId="0" xfId="77" applyNumberFormat="1" applyFont="1" applyFill="1" applyBorder="1" applyAlignment="1">
      <alignment horizontal="right"/>
    </xf>
    <xf numFmtId="15" fontId="5" fillId="0" borderId="0" xfId="71" applyNumberFormat="1" applyFont="1" applyFill="1" applyBorder="1" applyAlignment="1">
      <alignment horizontal="right"/>
    </xf>
    <xf numFmtId="40" fontId="3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left"/>
    </xf>
    <xf numFmtId="185" fontId="11" fillId="38" borderId="13" xfId="71" applyFont="1" applyFill="1" applyBorder="1" applyAlignment="1">
      <alignment horizontal="justify" vertical="top"/>
    </xf>
    <xf numFmtId="0" fontId="13" fillId="0" borderId="14" xfId="0" applyFont="1" applyBorder="1" applyAlignment="1">
      <alignment horizontal="right"/>
    </xf>
    <xf numFmtId="190" fontId="2" fillId="38" borderId="13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15" fontId="3" fillId="40" borderId="13" xfId="0" applyNumberFormat="1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19" fillId="0" borderId="10" xfId="0" applyFont="1" applyBorder="1" applyAlignment="1">
      <alignment/>
    </xf>
    <xf numFmtId="0" fontId="19" fillId="0" borderId="13" xfId="71" applyNumberFormat="1" applyFont="1" applyBorder="1" applyAlignment="1">
      <alignment horizontal="right"/>
    </xf>
    <xf numFmtId="0" fontId="12" fillId="0" borderId="11" xfId="0" applyFont="1" applyFill="1" applyBorder="1" applyAlignment="1">
      <alignment horizontal="right" vertical="center"/>
    </xf>
    <xf numFmtId="185" fontId="0" fillId="0" borderId="0" xfId="71" applyFont="1" applyAlignment="1">
      <alignment/>
    </xf>
    <xf numFmtId="185" fontId="4" fillId="0" borderId="11" xfId="71" applyFont="1" applyBorder="1" applyAlignment="1">
      <alignment horizontal="center" vertical="center" wrapText="1"/>
    </xf>
    <xf numFmtId="185" fontId="0" fillId="0" borderId="0" xfId="71" applyFont="1" applyAlignment="1">
      <alignment horizontal="justify" vertical="justify"/>
    </xf>
    <xf numFmtId="193" fontId="19" fillId="0" borderId="0" xfId="71" applyNumberFormat="1" applyFont="1" applyAlignment="1">
      <alignment/>
    </xf>
    <xf numFmtId="192" fontId="4" fillId="0" borderId="13" xfId="71" applyNumberFormat="1" applyFont="1" applyFill="1" applyBorder="1" applyAlignment="1">
      <alignment/>
    </xf>
    <xf numFmtId="192" fontId="0" fillId="0" borderId="0" xfId="0" applyNumberFormat="1" applyAlignment="1">
      <alignment/>
    </xf>
    <xf numFmtId="192" fontId="0" fillId="0" borderId="0" xfId="71" applyNumberFormat="1" applyFont="1" applyAlignment="1">
      <alignment/>
    </xf>
    <xf numFmtId="192" fontId="2" fillId="0" borderId="0" xfId="0" applyNumberFormat="1" applyFont="1" applyBorder="1" applyAlignment="1">
      <alignment/>
    </xf>
    <xf numFmtId="192" fontId="2" fillId="0" borderId="0" xfId="0" applyNumberFormat="1" applyFont="1" applyAlignment="1">
      <alignment/>
    </xf>
    <xf numFmtId="192" fontId="37" fillId="0" borderId="13" xfId="71" applyNumberFormat="1" applyFont="1" applyBorder="1" applyAlignment="1">
      <alignment/>
    </xf>
    <xf numFmtId="194" fontId="19" fillId="0" borderId="0" xfId="71" applyNumberFormat="1" applyFont="1" applyAlignment="1">
      <alignment/>
    </xf>
    <xf numFmtId="15" fontId="39" fillId="38" borderId="0" xfId="0" applyNumberFormat="1" applyFont="1" applyFill="1" applyBorder="1" applyAlignment="1">
      <alignment horizontal="center"/>
    </xf>
    <xf numFmtId="189" fontId="2" fillId="41" borderId="11" xfId="0" applyNumberFormat="1" applyFont="1" applyFill="1" applyBorder="1" applyAlignment="1">
      <alignment horizontal="right"/>
    </xf>
    <xf numFmtId="189" fontId="2" fillId="41" borderId="11" xfId="77" applyNumberFormat="1" applyFont="1" applyFill="1" applyBorder="1" applyAlignment="1">
      <alignment/>
    </xf>
    <xf numFmtId="189" fontId="2" fillId="41" borderId="16" xfId="77" applyNumberFormat="1" applyFont="1" applyFill="1" applyBorder="1" applyAlignment="1">
      <alignment/>
    </xf>
    <xf numFmtId="189" fontId="2" fillId="0" borderId="0" xfId="77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38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92" fontId="2" fillId="0" borderId="0" xfId="71" applyNumberFormat="1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89" fontId="4" fillId="38" borderId="11" xfId="0" applyNumberFormat="1" applyFont="1" applyFill="1" applyBorder="1" applyAlignment="1">
      <alignment horizontal="center" vertical="center" wrapText="1"/>
    </xf>
    <xf numFmtId="189" fontId="12" fillId="38" borderId="11" xfId="0" applyNumberFormat="1" applyFont="1" applyFill="1" applyBorder="1" applyAlignment="1">
      <alignment horizontal="center" vertical="center"/>
    </xf>
    <xf numFmtId="189" fontId="12" fillId="38" borderId="11" xfId="0" applyNumberFormat="1" applyFont="1" applyFill="1" applyBorder="1" applyAlignment="1">
      <alignment horizontal="right" vertical="center"/>
    </xf>
    <xf numFmtId="10" fontId="2" fillId="0" borderId="17" xfId="0" applyNumberFormat="1" applyFont="1" applyFill="1" applyBorder="1" applyAlignment="1">
      <alignment horizontal="right"/>
    </xf>
    <xf numFmtId="189" fontId="2" fillId="0" borderId="17" xfId="0" applyNumberFormat="1" applyFont="1" applyFill="1" applyBorder="1" applyAlignment="1">
      <alignment horizontal="right"/>
    </xf>
    <xf numFmtId="10" fontId="2" fillId="0" borderId="18" xfId="0" applyNumberFormat="1" applyFont="1" applyFill="1" applyBorder="1" applyAlignment="1">
      <alignment horizontal="right"/>
    </xf>
    <xf numFmtId="189" fontId="2" fillId="0" borderId="19" xfId="0" applyNumberFormat="1" applyFont="1" applyFill="1" applyBorder="1" applyAlignment="1">
      <alignment horizontal="right"/>
    </xf>
    <xf numFmtId="49" fontId="2" fillId="0" borderId="0" xfId="71" applyNumberFormat="1" applyFont="1" applyAlignment="1">
      <alignment horizontal="right"/>
    </xf>
    <xf numFmtId="49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right"/>
    </xf>
    <xf numFmtId="49" fontId="13" fillId="0" borderId="11" xfId="71" applyNumberFormat="1" applyFont="1" applyFill="1" applyBorder="1" applyAlignment="1">
      <alignment horizontal="center"/>
    </xf>
    <xf numFmtId="49" fontId="2" fillId="0" borderId="0" xfId="71" applyNumberFormat="1" applyFont="1" applyFill="1" applyBorder="1" applyAlignment="1">
      <alignment horizontal="right"/>
    </xf>
    <xf numFmtId="49" fontId="2" fillId="0" borderId="13" xfId="71" applyNumberFormat="1" applyFont="1" applyFill="1" applyBorder="1" applyAlignment="1">
      <alignment/>
    </xf>
    <xf numFmtId="49" fontId="6" fillId="39" borderId="14" xfId="71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/>
    </xf>
    <xf numFmtId="0" fontId="2" fillId="0" borderId="0" xfId="0" applyFont="1" applyAlignment="1">
      <alignment horizontal="left"/>
    </xf>
    <xf numFmtId="10" fontId="2" fillId="42" borderId="0" xfId="0" applyNumberFormat="1" applyFont="1" applyFill="1" applyBorder="1" applyAlignment="1">
      <alignment horizontal="right"/>
    </xf>
    <xf numFmtId="10" fontId="2" fillId="42" borderId="0" xfId="77" applyNumberFormat="1" applyFont="1" applyFill="1" applyAlignment="1">
      <alignment horizontal="right"/>
    </xf>
    <xf numFmtId="10" fontId="2" fillId="0" borderId="0" xfId="77" applyNumberFormat="1" applyFont="1" applyAlignment="1">
      <alignment horizontal="right"/>
    </xf>
    <xf numFmtId="0" fontId="3" fillId="0" borderId="0" xfId="0" applyFont="1" applyAlignment="1" applyProtection="1">
      <alignment horizontal="left"/>
      <protection/>
    </xf>
    <xf numFmtId="15" fontId="4" fillId="0" borderId="0" xfId="0" applyNumberFormat="1" applyFont="1" applyAlignment="1" applyProtection="1">
      <alignment horizontal="left"/>
      <protection/>
    </xf>
    <xf numFmtId="189" fontId="2" fillId="0" borderId="0" xfId="0" applyNumberFormat="1" applyFont="1" applyFill="1" applyAlignment="1">
      <alignment horizontal="right"/>
    </xf>
    <xf numFmtId="0" fontId="5" fillId="0" borderId="0" xfId="0" applyFont="1" applyAlignment="1" applyProtection="1">
      <alignment horizontal="justify"/>
      <protection/>
    </xf>
    <xf numFmtId="0" fontId="2" fillId="0" borderId="0" xfId="0" applyFont="1" applyBorder="1" applyAlignment="1">
      <alignment horizontal="center"/>
    </xf>
    <xf numFmtId="0" fontId="3" fillId="38" borderId="0" xfId="0" applyFont="1" applyFill="1" applyAlignment="1" applyProtection="1">
      <alignment horizontal="justify"/>
      <protection/>
    </xf>
    <xf numFmtId="10" fontId="3" fillId="0" borderId="0" xfId="77" applyNumberFormat="1" applyFont="1" applyFill="1" applyAlignment="1" applyProtection="1">
      <alignment horizontal="justify"/>
      <protection/>
    </xf>
    <xf numFmtId="0" fontId="3" fillId="0" borderId="0" xfId="0" applyFont="1" applyAlignment="1" applyProtection="1">
      <alignment horizontal="justify"/>
      <protection/>
    </xf>
    <xf numFmtId="189" fontId="3" fillId="0" borderId="0" xfId="0" applyNumberFormat="1" applyFont="1" applyFill="1" applyAlignment="1" applyProtection="1">
      <alignment horizontal="justify"/>
      <protection/>
    </xf>
    <xf numFmtId="0" fontId="3" fillId="0" borderId="0" xfId="0" applyFont="1" applyBorder="1" applyAlignment="1" applyProtection="1">
      <alignment horizontal="right"/>
      <protection/>
    </xf>
    <xf numFmtId="0" fontId="3" fillId="38" borderId="0" xfId="0" applyFont="1" applyFill="1" applyBorder="1" applyAlignment="1" applyProtection="1">
      <alignment horizontal="justify"/>
      <protection/>
    </xf>
    <xf numFmtId="10" fontId="3" fillId="0" borderId="0" xfId="77" applyNumberFormat="1" applyFont="1" applyFill="1" applyBorder="1" applyAlignment="1" applyProtection="1">
      <alignment horizontal="justify"/>
      <protection/>
    </xf>
    <xf numFmtId="189" fontId="2" fillId="0" borderId="0" xfId="0" applyNumberFormat="1" applyFont="1" applyFill="1" applyBorder="1" applyAlignment="1">
      <alignment horizontal="center"/>
    </xf>
    <xf numFmtId="189" fontId="2" fillId="0" borderId="17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justify"/>
    </xf>
    <xf numFmtId="10" fontId="4" fillId="43" borderId="11" xfId="77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left" vertical="center"/>
    </xf>
    <xf numFmtId="10" fontId="4" fillId="0" borderId="11" xfId="77" applyNumberFormat="1" applyFont="1" applyFill="1" applyBorder="1" applyAlignment="1">
      <alignment horizontal="right" vertical="center"/>
    </xf>
    <xf numFmtId="18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left"/>
    </xf>
    <xf numFmtId="189" fontId="2" fillId="38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15" fontId="5" fillId="38" borderId="0" xfId="0" applyNumberFormat="1" applyFont="1" applyFill="1" applyBorder="1" applyAlignment="1">
      <alignment horizontal="left"/>
    </xf>
    <xf numFmtId="10" fontId="2" fillId="38" borderId="0" xfId="77" applyNumberFormat="1" applyFont="1" applyFill="1" applyBorder="1" applyAlignment="1">
      <alignment horizontal="right"/>
    </xf>
    <xf numFmtId="10" fontId="2" fillId="38" borderId="0" xfId="0" applyNumberFormat="1" applyFont="1" applyFill="1" applyBorder="1" applyAlignment="1">
      <alignment horizontal="right"/>
    </xf>
    <xf numFmtId="10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10" fontId="2" fillId="0" borderId="0" xfId="77" applyNumberFormat="1" applyFont="1" applyAlignment="1">
      <alignment/>
    </xf>
    <xf numFmtId="0" fontId="2" fillId="0" borderId="0" xfId="0" applyFont="1" applyFill="1" applyAlignment="1">
      <alignment/>
    </xf>
    <xf numFmtId="189" fontId="2" fillId="38" borderId="0" xfId="0" applyNumberFormat="1" applyFont="1" applyFill="1" applyAlignment="1">
      <alignment/>
    </xf>
    <xf numFmtId="15" fontId="5" fillId="0" borderId="14" xfId="0" applyNumberFormat="1" applyFont="1" applyBorder="1" applyAlignment="1">
      <alignment horizontal="left"/>
    </xf>
    <xf numFmtId="10" fontId="2" fillId="0" borderId="14" xfId="77" applyNumberFormat="1" applyFont="1" applyBorder="1" applyAlignment="1">
      <alignment/>
    </xf>
    <xf numFmtId="189" fontId="2" fillId="38" borderId="14" xfId="0" applyNumberFormat="1" applyFont="1" applyFill="1" applyBorder="1" applyAlignment="1">
      <alignment/>
    </xf>
    <xf numFmtId="15" fontId="5" fillId="0" borderId="22" xfId="0" applyNumberFormat="1" applyFont="1" applyBorder="1" applyAlignment="1">
      <alignment horizontal="left"/>
    </xf>
    <xf numFmtId="10" fontId="2" fillId="0" borderId="22" xfId="77" applyNumberFormat="1" applyFont="1" applyBorder="1" applyAlignment="1">
      <alignment/>
    </xf>
    <xf numFmtId="10" fontId="4" fillId="0" borderId="0" xfId="77" applyNumberFormat="1" applyFont="1" applyAlignment="1">
      <alignment/>
    </xf>
    <xf numFmtId="10" fontId="2" fillId="0" borderId="0" xfId="77" applyNumberFormat="1" applyFont="1" applyBorder="1" applyAlignment="1">
      <alignment/>
    </xf>
    <xf numFmtId="15" fontId="4" fillId="0" borderId="0" xfId="0" applyNumberFormat="1" applyFont="1" applyBorder="1" applyAlignment="1">
      <alignment horizontal="left"/>
    </xf>
    <xf numFmtId="10" fontId="4" fillId="0" borderId="0" xfId="0" applyNumberFormat="1" applyFont="1" applyBorder="1" applyAlignment="1" applyProtection="1">
      <alignment vertical="center" wrapText="1"/>
      <protection/>
    </xf>
    <xf numFmtId="15" fontId="6" fillId="0" borderId="0" xfId="0" applyNumberFormat="1" applyFont="1" applyBorder="1" applyAlignment="1">
      <alignment horizontal="left"/>
    </xf>
    <xf numFmtId="10" fontId="6" fillId="0" borderId="0" xfId="0" applyNumberFormat="1" applyFont="1" applyBorder="1" applyAlignment="1" applyProtection="1">
      <alignment vertical="center" wrapText="1"/>
      <protection/>
    </xf>
    <xf numFmtId="187" fontId="0" fillId="0" borderId="0" xfId="73" applyFont="1" applyAlignment="1">
      <alignment/>
    </xf>
    <xf numFmtId="15" fontId="5" fillId="0" borderId="0" xfId="0" applyNumberFormat="1" applyFont="1" applyFill="1" applyBorder="1" applyAlignment="1">
      <alignment horizontal="left"/>
    </xf>
    <xf numFmtId="0" fontId="7" fillId="0" borderId="0" xfId="68" applyAlignment="1" applyProtection="1">
      <alignment/>
      <protection/>
    </xf>
    <xf numFmtId="192" fontId="11" fillId="0" borderId="15" xfId="0" applyNumberFormat="1" applyFont="1" applyBorder="1" applyAlignment="1">
      <alignment horizontal="right"/>
    </xf>
    <xf numFmtId="192" fontId="11" fillId="0" borderId="23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193" fontId="11" fillId="0" borderId="13" xfId="71" applyNumberFormat="1" applyFont="1" applyBorder="1" applyAlignment="1">
      <alignment/>
    </xf>
    <xf numFmtId="192" fontId="4" fillId="0" borderId="0" xfId="71" applyNumberFormat="1" applyFont="1" applyAlignment="1">
      <alignment/>
    </xf>
    <xf numFmtId="192" fontId="4" fillId="0" borderId="0" xfId="71" applyNumberFormat="1" applyFont="1" applyAlignment="1">
      <alignment horizontal="right"/>
    </xf>
    <xf numFmtId="185" fontId="4" fillId="0" borderId="0" xfId="71" applyFont="1" applyAlignment="1">
      <alignment/>
    </xf>
    <xf numFmtId="192" fontId="2" fillId="0" borderId="0" xfId="0" applyNumberFormat="1" applyFont="1" applyAlignment="1">
      <alignment horizontal="center"/>
    </xf>
    <xf numFmtId="192" fontId="36" fillId="0" borderId="0" xfId="0" applyNumberFormat="1" applyFont="1" applyAlignment="1">
      <alignment/>
    </xf>
    <xf numFmtId="0" fontId="2" fillId="0" borderId="0" xfId="0" applyFont="1" applyBorder="1" applyAlignment="1">
      <alignment horizontal="justify"/>
    </xf>
    <xf numFmtId="0" fontId="16" fillId="0" borderId="0" xfId="0" applyFont="1" applyBorder="1" applyAlignment="1">
      <alignment horizontal="justify"/>
    </xf>
    <xf numFmtId="0" fontId="19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195" fontId="15" fillId="0" borderId="0" xfId="67" applyFont="1" applyAlignment="1">
      <alignment horizontal="center"/>
    </xf>
    <xf numFmtId="0" fontId="16" fillId="0" borderId="0" xfId="0" applyFont="1" applyAlignment="1">
      <alignment horizontal="center"/>
    </xf>
    <xf numFmtId="191" fontId="4" fillId="38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192" fontId="36" fillId="0" borderId="0" xfId="0" applyNumberFormat="1" applyFont="1" applyAlignment="1">
      <alignment horizontal="right"/>
    </xf>
    <xf numFmtId="0" fontId="16" fillId="0" borderId="0" xfId="0" applyFont="1" applyAlignment="1">
      <alignment horizontal="justify"/>
    </xf>
    <xf numFmtId="192" fontId="36" fillId="0" borderId="19" xfId="0" applyNumberFormat="1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0" fontId="11" fillId="0" borderId="22" xfId="0" applyFont="1" applyBorder="1" applyAlignment="1">
      <alignment horizontal="right"/>
    </xf>
    <xf numFmtId="0" fontId="11" fillId="0" borderId="25" xfId="0" applyFont="1" applyBorder="1" applyAlignment="1">
      <alignment horizontal="right"/>
    </xf>
    <xf numFmtId="192" fontId="36" fillId="0" borderId="0" xfId="0" applyNumberFormat="1" applyFont="1" applyAlignment="1">
      <alignment horizontal="center"/>
    </xf>
    <xf numFmtId="185" fontId="4" fillId="0" borderId="12" xfId="71" applyFont="1" applyBorder="1" applyAlignment="1">
      <alignment horizontal="center" vertical="center"/>
    </xf>
    <xf numFmtId="185" fontId="4" fillId="0" borderId="26" xfId="7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23" xfId="0" applyFont="1" applyBorder="1" applyAlignment="1">
      <alignment horizontal="right"/>
    </xf>
    <xf numFmtId="4" fontId="36" fillId="0" borderId="0" xfId="71" applyNumberFormat="1" applyFont="1" applyAlignment="1">
      <alignment horizontal="center"/>
    </xf>
    <xf numFmtId="188" fontId="6" fillId="0" borderId="24" xfId="0" applyNumberFormat="1" applyFont="1" applyFill="1" applyBorder="1" applyAlignment="1">
      <alignment/>
    </xf>
    <xf numFmtId="188" fontId="6" fillId="0" borderId="25" xfId="0" applyNumberFormat="1" applyFont="1" applyFill="1" applyBorder="1" applyAlignment="1">
      <alignment/>
    </xf>
    <xf numFmtId="0" fontId="4" fillId="38" borderId="11" xfId="0" applyFont="1" applyFill="1" applyBorder="1" applyAlignment="1">
      <alignment horizontal="center" vertical="center" wrapText="1"/>
    </xf>
    <xf numFmtId="40" fontId="36" fillId="0" borderId="0" xfId="0" applyNumberFormat="1" applyFont="1" applyAlignment="1">
      <alignment horizontal="right"/>
    </xf>
    <xf numFmtId="40" fontId="36" fillId="0" borderId="19" xfId="0" applyNumberFormat="1" applyFont="1" applyBorder="1" applyAlignment="1">
      <alignment horizontal="right"/>
    </xf>
    <xf numFmtId="4" fontId="36" fillId="0" borderId="0" xfId="71" applyNumberFormat="1" applyFont="1" applyAlignment="1">
      <alignment horizontal="right"/>
    </xf>
    <xf numFmtId="0" fontId="2" fillId="0" borderId="0" xfId="0" applyFont="1" applyAlignment="1">
      <alignment horizontal="left"/>
    </xf>
    <xf numFmtId="10" fontId="2" fillId="0" borderId="24" xfId="0" applyNumberFormat="1" applyFont="1" applyBorder="1" applyAlignment="1">
      <alignment horizontal="right"/>
    </xf>
    <xf numFmtId="10" fontId="2" fillId="0" borderId="22" xfId="0" applyNumberFormat="1" applyFont="1" applyBorder="1" applyAlignment="1">
      <alignment horizontal="right"/>
    </xf>
    <xf numFmtId="10" fontId="2" fillId="0" borderId="25" xfId="0" applyNumberFormat="1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0" xfId="0" applyFont="1" applyAlignment="1" applyProtection="1">
      <alignment horizontal="justify"/>
      <protection/>
    </xf>
    <xf numFmtId="0" fontId="2" fillId="0" borderId="0" xfId="0" applyFont="1" applyAlignment="1">
      <alignment horizontal="center"/>
    </xf>
    <xf numFmtId="0" fontId="3" fillId="42" borderId="24" xfId="0" applyFont="1" applyFill="1" applyBorder="1" applyAlignment="1" applyProtection="1">
      <alignment horizontal="justify"/>
      <protection/>
    </xf>
    <xf numFmtId="0" fontId="3" fillId="42" borderId="22" xfId="0" applyFont="1" applyFill="1" applyBorder="1" applyAlignment="1" applyProtection="1">
      <alignment horizontal="justify"/>
      <protection/>
    </xf>
    <xf numFmtId="0" fontId="2" fillId="41" borderId="18" xfId="0" applyFont="1" applyFill="1" applyBorder="1" applyAlignment="1">
      <alignment horizontal="justify"/>
    </xf>
    <xf numFmtId="0" fontId="2" fillId="41" borderId="27" xfId="0" applyFont="1" applyFill="1" applyBorder="1" applyAlignment="1">
      <alignment horizontal="justify"/>
    </xf>
    <xf numFmtId="0" fontId="2" fillId="41" borderId="28" xfId="0" applyFont="1" applyFill="1" applyBorder="1" applyAlignment="1">
      <alignment horizontal="justify"/>
    </xf>
    <xf numFmtId="0" fontId="2" fillId="41" borderId="29" xfId="0" applyFont="1" applyFill="1" applyBorder="1" applyAlignment="1">
      <alignment horizontal="justify"/>
    </xf>
    <xf numFmtId="0" fontId="2" fillId="41" borderId="17" xfId="0" applyFont="1" applyFill="1" applyBorder="1" applyAlignment="1">
      <alignment horizontal="justify"/>
    </xf>
    <xf numFmtId="0" fontId="2" fillId="41" borderId="30" xfId="0" applyFont="1" applyFill="1" applyBorder="1" applyAlignment="1">
      <alignment horizontal="justify"/>
    </xf>
    <xf numFmtId="0" fontId="4" fillId="38" borderId="18" xfId="0" applyFont="1" applyFill="1" applyBorder="1" applyAlignment="1" applyProtection="1">
      <alignment horizontal="justify"/>
      <protection/>
    </xf>
    <xf numFmtId="0" fontId="2" fillId="38" borderId="27" xfId="0" applyFont="1" applyFill="1" applyBorder="1" applyAlignment="1" applyProtection="1">
      <alignment horizontal="justify"/>
      <protection/>
    </xf>
    <xf numFmtId="0" fontId="2" fillId="38" borderId="28" xfId="0" applyFont="1" applyFill="1" applyBorder="1" applyAlignment="1" applyProtection="1">
      <alignment horizontal="justify"/>
      <protection/>
    </xf>
    <xf numFmtId="0" fontId="2" fillId="38" borderId="29" xfId="0" applyFont="1" applyFill="1" applyBorder="1" applyAlignment="1" applyProtection="1">
      <alignment horizontal="justify"/>
      <protection/>
    </xf>
    <xf numFmtId="0" fontId="2" fillId="38" borderId="17" xfId="0" applyFont="1" applyFill="1" applyBorder="1" applyAlignment="1" applyProtection="1">
      <alignment horizontal="justify"/>
      <protection/>
    </xf>
    <xf numFmtId="0" fontId="2" fillId="38" borderId="30" xfId="0" applyFont="1" applyFill="1" applyBorder="1" applyAlignment="1" applyProtection="1">
      <alignment horizontal="justify"/>
      <protection/>
    </xf>
    <xf numFmtId="15" fontId="2" fillId="40" borderId="18" xfId="0" applyNumberFormat="1" applyFont="1" applyFill="1" applyBorder="1" applyAlignment="1">
      <alignment/>
    </xf>
    <xf numFmtId="15" fontId="2" fillId="40" borderId="27" xfId="0" applyNumberFormat="1" applyFont="1" applyFill="1" applyBorder="1" applyAlignment="1">
      <alignment/>
    </xf>
    <xf numFmtId="15" fontId="2" fillId="40" borderId="28" xfId="0" applyNumberFormat="1" applyFont="1" applyFill="1" applyBorder="1" applyAlignment="1">
      <alignment/>
    </xf>
    <xf numFmtId="15" fontId="2" fillId="40" borderId="29" xfId="0" applyNumberFormat="1" applyFont="1" applyFill="1" applyBorder="1" applyAlignment="1">
      <alignment/>
    </xf>
    <xf numFmtId="15" fontId="2" fillId="40" borderId="17" xfId="0" applyNumberFormat="1" applyFont="1" applyFill="1" applyBorder="1" applyAlignment="1">
      <alignment/>
    </xf>
    <xf numFmtId="15" fontId="2" fillId="40" borderId="30" xfId="0" applyNumberFormat="1" applyFont="1" applyFill="1" applyBorder="1" applyAlignment="1">
      <alignment/>
    </xf>
    <xf numFmtId="0" fontId="4" fillId="44" borderId="11" xfId="0" applyFont="1" applyFill="1" applyBorder="1" applyAlignment="1">
      <alignment horizontal="center"/>
    </xf>
    <xf numFmtId="0" fontId="4" fillId="43" borderId="12" xfId="0" applyFont="1" applyFill="1" applyBorder="1" applyAlignment="1">
      <alignment horizontal="center"/>
    </xf>
    <xf numFmtId="0" fontId="4" fillId="43" borderId="31" xfId="0" applyFont="1" applyFill="1" applyBorder="1" applyAlignment="1">
      <alignment horizontal="center"/>
    </xf>
    <xf numFmtId="0" fontId="4" fillId="43" borderId="26" xfId="0" applyFont="1" applyFill="1" applyBorder="1" applyAlignment="1">
      <alignment horizontal="center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 1" xfId="39"/>
    <cellStyle name="Énfasis 2" xfId="40"/>
    <cellStyle name="Énfasis 3" xfId="41"/>
    <cellStyle name="Énfasis1" xfId="42"/>
    <cellStyle name="Énfasis1 - 20%" xfId="43"/>
    <cellStyle name="Énfasis1 - 40%" xfId="44"/>
    <cellStyle name="Énfasis1 - 60%" xfId="45"/>
    <cellStyle name="Énfasis2" xfId="46"/>
    <cellStyle name="Énfasis2 - 20%" xfId="47"/>
    <cellStyle name="Énfasis2 - 40%" xfId="48"/>
    <cellStyle name="Énfasis2 - 60%" xfId="49"/>
    <cellStyle name="Énfasis3" xfId="50"/>
    <cellStyle name="Énfasis3 - 20%" xfId="51"/>
    <cellStyle name="Énfasis3 - 40%" xfId="52"/>
    <cellStyle name="Énfasis3 - 60%" xfId="53"/>
    <cellStyle name="Énfasis4" xfId="54"/>
    <cellStyle name="Énfasis4 - 20%" xfId="55"/>
    <cellStyle name="Énfasis4 - 40%" xfId="56"/>
    <cellStyle name="Énfasis4 - 60%" xfId="57"/>
    <cellStyle name="Énfasis5" xfId="58"/>
    <cellStyle name="Énfasis5 - 20%" xfId="59"/>
    <cellStyle name="Énfasis5 - 40%" xfId="60"/>
    <cellStyle name="Énfasis5 - 60%" xfId="61"/>
    <cellStyle name="Énfasis6" xfId="62"/>
    <cellStyle name="Énfasis6 - 20%" xfId="63"/>
    <cellStyle name="Énfasis6 - 40%" xfId="64"/>
    <cellStyle name="Énfasis6 - 60%" xfId="65"/>
    <cellStyle name="Entrada" xfId="66"/>
    <cellStyle name="Euro" xfId="67"/>
    <cellStyle name="Hyperlink" xfId="68"/>
    <cellStyle name="Followed Hyperlink" xfId="69"/>
    <cellStyle name="Incorrecto" xfId="70"/>
    <cellStyle name="Comma" xfId="71"/>
    <cellStyle name="Comma [0]" xfId="72"/>
    <cellStyle name="Currency" xfId="73"/>
    <cellStyle name="Currency [0]" xfId="74"/>
    <cellStyle name="Neutral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ítulo de hoja" xfId="84"/>
    <cellStyle name="Total" xfId="85"/>
  </cellStyles>
  <dxfs count="22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indexed="9"/>
      </font>
      <fill>
        <patternFill patternType="solid">
          <bgColor indexed="26"/>
        </patternFill>
      </fill>
    </dxf>
    <dxf>
      <font>
        <color indexed="58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26"/>
        </patternFill>
      </fill>
    </dxf>
    <dxf>
      <font>
        <color indexed="58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26"/>
        </patternFill>
      </fill>
    </dxf>
    <dxf>
      <font>
        <color indexed="58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26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26"/>
        </patternFill>
      </fill>
    </dxf>
    <dxf>
      <font>
        <color indexed="58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26"/>
        </patternFill>
      </fill>
    </dxf>
    <dxf>
      <font>
        <color rgb="FFFFFFFF"/>
      </font>
      <fill>
        <patternFill>
          <bgColor rgb="FFFFFFCC"/>
        </patternFill>
      </fill>
      <border/>
    </dxf>
    <dxf>
      <font>
        <color auto="1"/>
      </font>
      <fill>
        <patternFill patternType="none">
          <bgColor indexed="65"/>
        </patternFill>
      </fill>
      <border/>
    </dxf>
    <dxf>
      <font>
        <color rgb="FF003300"/>
      </font>
      <fill>
        <patternFill patternType="none">
          <bgColor indexed="65"/>
        </patternFill>
      </fill>
      <border/>
    </dxf>
    <dxf>
      <font>
        <color rgb="FFFFFFFF"/>
      </font>
      <fill>
        <patternFill patternType="solid"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0</xdr:col>
      <xdr:colOff>409575</xdr:colOff>
      <xdr:row>15</xdr:row>
      <xdr:rowOff>133350</xdr:rowOff>
    </xdr:to>
    <xdr:sp>
      <xdr:nvSpPr>
        <xdr:cNvPr id="1" name="Line 1"/>
        <xdr:cNvSpPr>
          <a:spLocks/>
        </xdr:cNvSpPr>
      </xdr:nvSpPr>
      <xdr:spPr>
        <a:xfrm>
          <a:off x="0" y="2609850"/>
          <a:ext cx="4095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133350</xdr:rowOff>
    </xdr:from>
    <xdr:to>
      <xdr:col>1</xdr:col>
      <xdr:colOff>47625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42950" y="942975"/>
          <a:ext cx="38100" cy="190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47625</xdr:rowOff>
    </xdr:from>
    <xdr:to>
      <xdr:col>1</xdr:col>
      <xdr:colOff>209550</xdr:colOff>
      <xdr:row>7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771525" y="857250"/>
          <a:ext cx="171450" cy="276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5</xdr:row>
      <xdr:rowOff>57150</xdr:rowOff>
    </xdr:from>
    <xdr:to>
      <xdr:col>1</xdr:col>
      <xdr:colOff>523875</xdr:colOff>
      <xdr:row>5</xdr:row>
      <xdr:rowOff>66675</xdr:rowOff>
    </xdr:to>
    <xdr:sp>
      <xdr:nvSpPr>
        <xdr:cNvPr id="4" name="Line 7"/>
        <xdr:cNvSpPr>
          <a:spLocks/>
        </xdr:cNvSpPr>
      </xdr:nvSpPr>
      <xdr:spPr>
        <a:xfrm flipV="1">
          <a:off x="942975" y="866775"/>
          <a:ext cx="3143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2</xdr:row>
      <xdr:rowOff>9525</xdr:rowOff>
    </xdr:from>
    <xdr:to>
      <xdr:col>7</xdr:col>
      <xdr:colOff>190500</xdr:colOff>
      <xdr:row>6</xdr:row>
      <xdr:rowOff>28575</xdr:rowOff>
    </xdr:to>
    <xdr:sp>
      <xdr:nvSpPr>
        <xdr:cNvPr id="5" name="Line 9"/>
        <xdr:cNvSpPr>
          <a:spLocks/>
        </xdr:cNvSpPr>
      </xdr:nvSpPr>
      <xdr:spPr>
        <a:xfrm flipH="1" flipV="1">
          <a:off x="4610100" y="333375"/>
          <a:ext cx="5715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0</xdr:col>
      <xdr:colOff>409575</xdr:colOff>
      <xdr:row>15</xdr:row>
      <xdr:rowOff>133350</xdr:rowOff>
    </xdr:to>
    <xdr:sp>
      <xdr:nvSpPr>
        <xdr:cNvPr id="6" name="Line 1"/>
        <xdr:cNvSpPr>
          <a:spLocks/>
        </xdr:cNvSpPr>
      </xdr:nvSpPr>
      <xdr:spPr>
        <a:xfrm>
          <a:off x="0" y="2609850"/>
          <a:ext cx="4095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133350</xdr:rowOff>
    </xdr:from>
    <xdr:to>
      <xdr:col>1</xdr:col>
      <xdr:colOff>47625</xdr:colOff>
      <xdr:row>7</xdr:row>
      <xdr:rowOff>0</xdr:rowOff>
    </xdr:to>
    <xdr:sp>
      <xdr:nvSpPr>
        <xdr:cNvPr id="7" name="Line 5"/>
        <xdr:cNvSpPr>
          <a:spLocks/>
        </xdr:cNvSpPr>
      </xdr:nvSpPr>
      <xdr:spPr>
        <a:xfrm>
          <a:off x="742950" y="942975"/>
          <a:ext cx="38100" cy="190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47625</xdr:rowOff>
    </xdr:from>
    <xdr:to>
      <xdr:col>1</xdr:col>
      <xdr:colOff>209550</xdr:colOff>
      <xdr:row>7</xdr:row>
      <xdr:rowOff>0</xdr:rowOff>
    </xdr:to>
    <xdr:sp>
      <xdr:nvSpPr>
        <xdr:cNvPr id="8" name="Line 6"/>
        <xdr:cNvSpPr>
          <a:spLocks/>
        </xdr:cNvSpPr>
      </xdr:nvSpPr>
      <xdr:spPr>
        <a:xfrm flipV="1">
          <a:off x="771525" y="857250"/>
          <a:ext cx="171450" cy="276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5</xdr:row>
      <xdr:rowOff>57150</xdr:rowOff>
    </xdr:from>
    <xdr:to>
      <xdr:col>1</xdr:col>
      <xdr:colOff>523875</xdr:colOff>
      <xdr:row>5</xdr:row>
      <xdr:rowOff>66675</xdr:rowOff>
    </xdr:to>
    <xdr:sp>
      <xdr:nvSpPr>
        <xdr:cNvPr id="9" name="Line 7"/>
        <xdr:cNvSpPr>
          <a:spLocks/>
        </xdr:cNvSpPr>
      </xdr:nvSpPr>
      <xdr:spPr>
        <a:xfrm flipV="1">
          <a:off x="942975" y="866775"/>
          <a:ext cx="3143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2</xdr:row>
      <xdr:rowOff>9525</xdr:rowOff>
    </xdr:from>
    <xdr:to>
      <xdr:col>7</xdr:col>
      <xdr:colOff>190500</xdr:colOff>
      <xdr:row>6</xdr:row>
      <xdr:rowOff>28575</xdr:rowOff>
    </xdr:to>
    <xdr:sp>
      <xdr:nvSpPr>
        <xdr:cNvPr id="10" name="Line 9"/>
        <xdr:cNvSpPr>
          <a:spLocks/>
        </xdr:cNvSpPr>
      </xdr:nvSpPr>
      <xdr:spPr>
        <a:xfrm flipH="1" flipV="1">
          <a:off x="4610100" y="333375"/>
          <a:ext cx="5715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Carlos%20Ruiz\Mis%20documentos\ARCHIVOS%20JORGE\LIQUIDACIONES%20rafaellllllll\Intereses%20desde%20el%20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ESES"/>
      <sheetName val="Usura 235(derogado)"/>
      <sheetName val="Intereses desde el 71"/>
    </sheetNames>
  </externalBook>
</externalLink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uperfinanciera.gov.co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7"/>
  <sheetViews>
    <sheetView tabSelected="1" zoomScale="85" zoomScaleNormal="85" zoomScalePageLayoutView="0" workbookViewId="0" topLeftCell="A69">
      <selection activeCell="G175" sqref="G175"/>
    </sheetView>
  </sheetViews>
  <sheetFormatPr defaultColWidth="11.421875" defaultRowHeight="12.75"/>
  <cols>
    <col min="1" max="1" width="10.7109375" style="0" customWidth="1"/>
    <col min="2" max="2" width="12.28125" style="0" customWidth="1"/>
    <col min="3" max="3" width="9.140625" style="0" customWidth="1"/>
    <col min="4" max="4" width="8.7109375" style="0" customWidth="1"/>
    <col min="5" max="5" width="8.00390625" style="58" customWidth="1"/>
    <col min="6" max="6" width="16.00390625" style="82" customWidth="1"/>
    <col min="7" max="7" width="16.140625" style="0" customWidth="1"/>
    <col min="8" max="8" width="12.28125" style="0" customWidth="1"/>
    <col min="9" max="9" width="15.421875" style="84" customWidth="1"/>
    <col min="10" max="10" width="15.140625" style="71" customWidth="1"/>
    <col min="11" max="11" width="5.00390625" style="136" customWidth="1"/>
    <col min="12" max="12" width="14.421875" style="71" customWidth="1"/>
    <col min="13" max="13" width="19.421875" style="107" customWidth="1"/>
    <col min="17" max="17" width="17.28125" style="0" bestFit="1" customWidth="1"/>
  </cols>
  <sheetData>
    <row r="1" spans="1:13" ht="17.25">
      <c r="A1" s="210" t="s">
        <v>82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7.25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 ht="16.5" hidden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</row>
    <row r="4" spans="1:9" ht="12.75" hidden="1">
      <c r="A4" s="206"/>
      <c r="B4" s="206"/>
      <c r="C4" s="206"/>
      <c r="D4" s="206"/>
      <c r="E4" s="206"/>
      <c r="F4" s="206"/>
      <c r="G4" s="206"/>
      <c r="H4" s="2"/>
      <c r="I4" s="29"/>
    </row>
    <row r="5" spans="1:13" ht="41.25" customHeight="1" hidden="1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2" ht="12.75" hidden="1">
      <c r="A6" s="3"/>
      <c r="B6" s="28"/>
      <c r="C6" s="1"/>
      <c r="D6" s="132"/>
      <c r="E6" s="133"/>
      <c r="F6" s="1"/>
      <c r="I6"/>
      <c r="J6"/>
      <c r="K6" s="137"/>
      <c r="L6" s="107"/>
    </row>
    <row r="7" spans="1:12" ht="12.75">
      <c r="A7" s="214" t="s">
        <v>28</v>
      </c>
      <c r="B7" s="214"/>
      <c r="C7" s="214"/>
      <c r="D7" s="13"/>
      <c r="E7" s="119">
        <f>IF(D7="","",POWER((1+D7),(1/12))-1)</f>
      </c>
      <c r="F7" s="72" t="s">
        <v>5</v>
      </c>
      <c r="G7" s="65"/>
      <c r="I7" s="118">
        <v>36220</v>
      </c>
      <c r="J7"/>
      <c r="K7" s="137"/>
      <c r="L7" s="107"/>
    </row>
    <row r="8" spans="1:12" ht="12.75">
      <c r="A8" s="214" t="s">
        <v>3</v>
      </c>
      <c r="B8" s="214"/>
      <c r="C8" s="214"/>
      <c r="D8" s="14"/>
      <c r="E8" s="55"/>
      <c r="F8" s="73"/>
      <c r="G8" s="30"/>
      <c r="I8" s="118">
        <v>36233</v>
      </c>
      <c r="J8"/>
      <c r="K8" s="137"/>
      <c r="L8" s="107"/>
    </row>
    <row r="9" spans="1:12" ht="12.75">
      <c r="A9" s="208" t="s">
        <v>30</v>
      </c>
      <c r="B9" s="208"/>
      <c r="C9" s="208"/>
      <c r="D9" s="120" t="str">
        <f>IF(MAX(E7,D8)=0,"Máxima",MAX(E7,D8))</f>
        <v>Máxima</v>
      </c>
      <c r="E9" s="55"/>
      <c r="F9" s="73"/>
      <c r="G9" s="30"/>
      <c r="I9" s="118">
        <v>39083</v>
      </c>
      <c r="J9"/>
      <c r="K9" s="137"/>
      <c r="L9" s="107"/>
    </row>
    <row r="10" spans="1:12" ht="12.75">
      <c r="A10" s="214" t="s">
        <v>29</v>
      </c>
      <c r="B10" s="214"/>
      <c r="C10" s="214"/>
      <c r="D10" s="13"/>
      <c r="E10" s="119">
        <f>IF(D10="","",POWER((1+D10),(1/12))-1)</f>
      </c>
      <c r="F10" s="85" t="s">
        <v>21</v>
      </c>
      <c r="G10" s="65">
        <v>43942</v>
      </c>
      <c r="I10" s="118">
        <v>39086</v>
      </c>
      <c r="J10"/>
      <c r="K10" s="137"/>
      <c r="L10" s="107"/>
    </row>
    <row r="11" spans="1:12" ht="12.75">
      <c r="A11" s="214" t="s">
        <v>3</v>
      </c>
      <c r="B11" s="214"/>
      <c r="C11" s="214"/>
      <c r="D11" s="14"/>
      <c r="E11" s="134"/>
      <c r="F11" s="135">
        <f>IF(E11="","",POWER((1+E11),(1/12))-1)</f>
      </c>
      <c r="G11" s="96" t="s">
        <v>23</v>
      </c>
      <c r="H11" s="102" t="s">
        <v>25</v>
      </c>
      <c r="I11"/>
      <c r="J11"/>
      <c r="K11" s="137"/>
      <c r="L11" s="107"/>
    </row>
    <row r="12" spans="1:12" ht="12.75">
      <c r="A12" s="208" t="s">
        <v>30</v>
      </c>
      <c r="B12" s="208"/>
      <c r="C12" s="208"/>
      <c r="D12" s="121" t="str">
        <f>IF(MAX(E10,D11)=0,"Máxima",MAX(E10,D11))</f>
        <v>Máxima</v>
      </c>
      <c r="E12" s="55"/>
      <c r="F12" s="30"/>
      <c r="G12" s="96" t="s">
        <v>24</v>
      </c>
      <c r="H12" s="102"/>
      <c r="I12"/>
      <c r="J12"/>
      <c r="K12" s="137"/>
      <c r="L12" s="107"/>
    </row>
    <row r="13" spans="1:13" ht="12.75">
      <c r="A13" s="221" t="s">
        <v>33</v>
      </c>
      <c r="B13" s="222"/>
      <c r="C13" s="222"/>
      <c r="D13" s="222"/>
      <c r="E13" s="223"/>
      <c r="F13" s="99"/>
      <c r="G13" s="96" t="s">
        <v>32</v>
      </c>
      <c r="H13" s="102"/>
      <c r="I13" s="74"/>
      <c r="J13" s="74"/>
      <c r="K13" s="138"/>
      <c r="L13" s="70"/>
      <c r="M13" s="70"/>
    </row>
    <row r="14" spans="1:13" ht="12.75">
      <c r="A14" s="221" t="s">
        <v>78</v>
      </c>
      <c r="B14" s="222"/>
      <c r="C14" s="222"/>
      <c r="D14" s="222"/>
      <c r="E14" s="223"/>
      <c r="F14" s="99"/>
      <c r="G14" s="123"/>
      <c r="H14" s="125"/>
      <c r="I14" s="74"/>
      <c r="J14" s="74"/>
      <c r="K14" s="138"/>
      <c r="L14" s="70"/>
      <c r="M14" s="70"/>
    </row>
    <row r="15" spans="3:13" ht="12.75">
      <c r="C15" s="103"/>
      <c r="E15" s="52"/>
      <c r="G15" s="74"/>
      <c r="H15" s="74"/>
      <c r="I15" s="74"/>
      <c r="J15" s="74"/>
      <c r="K15" s="138"/>
      <c r="L15" s="70"/>
      <c r="M15" s="70"/>
    </row>
    <row r="16" spans="1:13" s="37" customFormat="1" ht="25.5">
      <c r="A16" s="209" t="s">
        <v>38</v>
      </c>
      <c r="B16" s="209"/>
      <c r="C16" s="35" t="s">
        <v>1</v>
      </c>
      <c r="D16" s="36" t="s">
        <v>9</v>
      </c>
      <c r="E16" s="129" t="s">
        <v>39</v>
      </c>
      <c r="F16" s="68" t="s">
        <v>7</v>
      </c>
      <c r="G16" s="213" t="s">
        <v>2</v>
      </c>
      <c r="H16" s="213"/>
      <c r="I16" s="213"/>
      <c r="J16" s="213"/>
      <c r="K16" s="213"/>
      <c r="L16" s="213"/>
      <c r="M16" s="213"/>
    </row>
    <row r="17" spans="1:13" s="12" customFormat="1" ht="23.25" customHeight="1">
      <c r="A17" s="127" t="s">
        <v>35</v>
      </c>
      <c r="B17" s="128" t="s">
        <v>36</v>
      </c>
      <c r="C17" s="69" t="s">
        <v>11</v>
      </c>
      <c r="D17" s="34" t="s">
        <v>10</v>
      </c>
      <c r="E17" s="130" t="s">
        <v>4</v>
      </c>
      <c r="F17" s="68" t="s">
        <v>8</v>
      </c>
      <c r="G17" s="75" t="s">
        <v>12</v>
      </c>
      <c r="H17" s="75" t="s">
        <v>13</v>
      </c>
      <c r="I17" s="76" t="s">
        <v>14</v>
      </c>
      <c r="J17" s="225" t="s">
        <v>34</v>
      </c>
      <c r="K17" s="226"/>
      <c r="L17" s="108" t="s">
        <v>22</v>
      </c>
      <c r="M17" s="108" t="s">
        <v>15</v>
      </c>
    </row>
    <row r="18" spans="1:13" ht="15">
      <c r="A18" s="90">
        <v>41641</v>
      </c>
      <c r="B18" s="101">
        <v>41670</v>
      </c>
      <c r="C18" s="91">
        <v>21</v>
      </c>
      <c r="D18" s="142" t="s">
        <v>40</v>
      </c>
      <c r="E18" s="89"/>
      <c r="F18" s="77"/>
      <c r="G18" s="77"/>
      <c r="H18" s="6"/>
      <c r="I18" s="78">
        <f>F14</f>
        <v>0</v>
      </c>
      <c r="J18" s="79" t="s">
        <v>16</v>
      </c>
      <c r="K18" s="139" t="s">
        <v>17</v>
      </c>
      <c r="L18" s="78">
        <f>I18</f>
        <v>0</v>
      </c>
      <c r="M18" s="78">
        <f>SUM(G18,I18)</f>
        <v>0</v>
      </c>
    </row>
    <row r="19" spans="1:13" ht="12.75">
      <c r="A19" s="93">
        <f>DATE(YEAR(Fecha_Pri),MONTH(Fecha_Pri),DAY(Fecha_Pri))</f>
        <v>41641</v>
      </c>
      <c r="B19" s="93">
        <f>Fecha_Fin</f>
        <v>41670</v>
      </c>
      <c r="C19" s="92">
        <f>VLOOKUP(A19,'intereses desde el 71'!$A:$XFD,IF(A19&lt;Nuevo_Int_Ca,3,IF(Comercial_Ca="x",3,IF(Consumo_Ca="x",4,IF(Microcréd_Ca="x",5)))))</f>
        <v>0.1965</v>
      </c>
      <c r="D19" s="92">
        <f>IF(A19="","",(POWER((1+(C19*D$18)),(1/12)))-1)</f>
        <v>0.021759834797641986</v>
      </c>
      <c r="E19" s="122">
        <f>IF(A19="","",IF(B19&lt;=G$7,MIN(D$9,D19),MIN(D$12,D19)))</f>
        <v>0.021759834797641986</v>
      </c>
      <c r="F19" s="70">
        <v>2000000</v>
      </c>
      <c r="G19" s="117">
        <f>MIN(G18,M18)+F19</f>
        <v>2000000</v>
      </c>
      <c r="H19" s="6">
        <f aca="true" t="shared" si="0" ref="H19:H49">IF(Colm_Des&gt;Mora_Fin,"",IF(A19="","",DAYS360(A19,B19+(1))))</f>
        <v>29</v>
      </c>
      <c r="I19" s="29">
        <f aca="true" t="shared" si="1" ref="I19:I82">IF(Colm_Des&gt;Mora_Fin,"0",IF(A19="","0",IF(G19&lt;0,"0",((G19*E19)/30)*H19)))</f>
        <v>42069.013942107835</v>
      </c>
      <c r="J19" s="70"/>
      <c r="K19" s="140"/>
      <c r="L19" s="110">
        <f>IF(L18&lt;0,I19-J19,L18+I19-J19)</f>
        <v>42069.013942107835</v>
      </c>
      <c r="M19" s="110">
        <f>SUM(M18,F19,I19)-J19</f>
        <v>2042069.0139421078</v>
      </c>
    </row>
    <row r="20" spans="1:13" ht="12.75">
      <c r="A20" s="93">
        <f>DATE(YEAR(B19),MONTH(B19),DAY(B19)+1)</f>
        <v>41671</v>
      </c>
      <c r="B20" s="93">
        <f aca="true" t="shared" si="2" ref="B20:B51">IF(AND(A20&gt;=Primar_Ca,A20&lt;=Catmar_Ca),DATE(YEAR(A20),MONTH(A20),14),IF(AND(A20&gt;=Nuevo_Int_Ca,A20&lt;=Sgn_Int_Ca),DATE(YEAR(A20),MONTH(A20),4),IF(A20=DATE(YEAR(Mora_Fin),MONTH(Mora_Fin),DAY(1)),DATE(YEAR(Mora_Fin),MONTH(Mora_Fin),DAY(Mora_Fin)),DATE(YEAR(A20),MONTH(A20)+1,))))</f>
        <v>41698</v>
      </c>
      <c r="C20" s="92">
        <f>VLOOKUP(A20,'intereses desde el 71'!$A:$XFD,IF(A20&lt;Nuevo_Int_Ca,3,IF(Comercial_Ca="x",3,IF(Consumo_Ca="x",4,IF(Microcréd_Ca="x",5)))))</f>
        <v>0.1965</v>
      </c>
      <c r="D20" s="92">
        <f aca="true" t="shared" si="3" ref="D20:D83">IF(A20="","",(POWER((1+(C20*D$18)),(1/12)))-1)</f>
        <v>0.021759834797641986</v>
      </c>
      <c r="E20" s="122">
        <f aca="true" t="shared" si="4" ref="E20:E83">IF(A20="","",IF(B20&lt;=G$7,MIN(D$9,D20),MIN(D$12,D20)))</f>
        <v>0.021759834797641986</v>
      </c>
      <c r="F20" s="70"/>
      <c r="G20" s="117">
        <f aca="true" t="shared" si="5" ref="G20:G83">MIN(G19,M19)+F20</f>
        <v>2000000</v>
      </c>
      <c r="H20" s="6">
        <f t="shared" si="0"/>
        <v>30</v>
      </c>
      <c r="I20" s="29">
        <f t="shared" si="1"/>
        <v>43519.66959528397</v>
      </c>
      <c r="J20" s="70"/>
      <c r="K20" s="140"/>
      <c r="L20" s="110">
        <f aca="true" t="shared" si="6" ref="L20:L83">IF(L19&lt;0,I20-J20,L19+I20-J20)</f>
        <v>85588.6835373918</v>
      </c>
      <c r="M20" s="110">
        <f aca="true" t="shared" si="7" ref="M20:M48">SUM(M19,F20,I20)-J20</f>
        <v>2085588.6835373917</v>
      </c>
    </row>
    <row r="21" spans="1:13" ht="12.75">
      <c r="A21" s="93">
        <f aca="true" t="shared" si="8" ref="A21:A84">DATE(YEAR(B20),MONTH(B20),DAY(B20)+1)</f>
        <v>41699</v>
      </c>
      <c r="B21" s="93">
        <f t="shared" si="2"/>
        <v>41729</v>
      </c>
      <c r="C21" s="92">
        <f>VLOOKUP(A21,'intereses desde el 71'!$A:$XFD,IF(A21&lt;Nuevo_Int_Ca,3,IF(Comercial_Ca="x",3,IF(Consumo_Ca="x",4,IF(Microcréd_Ca="x",5)))))</f>
        <v>0.1965</v>
      </c>
      <c r="D21" s="92">
        <f t="shared" si="3"/>
        <v>0.021759834797641986</v>
      </c>
      <c r="E21" s="122">
        <f t="shared" si="4"/>
        <v>0.021759834797641986</v>
      </c>
      <c r="F21" s="70"/>
      <c r="G21" s="117">
        <f t="shared" si="5"/>
        <v>2000000</v>
      </c>
      <c r="H21" s="6">
        <f t="shared" si="0"/>
        <v>30</v>
      </c>
      <c r="I21" s="29">
        <f t="shared" si="1"/>
        <v>43519.66959528397</v>
      </c>
      <c r="J21" s="70"/>
      <c r="K21" s="140"/>
      <c r="L21" s="110">
        <f t="shared" si="6"/>
        <v>129108.35313267578</v>
      </c>
      <c r="M21" s="110">
        <f t="shared" si="7"/>
        <v>2129108.353132676</v>
      </c>
    </row>
    <row r="22" spans="1:13" ht="12.75">
      <c r="A22" s="93">
        <f t="shared" si="8"/>
        <v>41730</v>
      </c>
      <c r="B22" s="93">
        <f t="shared" si="2"/>
        <v>41759</v>
      </c>
      <c r="C22" s="92">
        <f>VLOOKUP(A22,'intereses desde el 71'!$A:$XFD,IF(A22&lt;Nuevo_Int_Ca,3,IF(Comercial_Ca="x",3,IF(Consumo_Ca="x",4,IF(Microcréd_Ca="x",5)))))</f>
        <v>0.1963</v>
      </c>
      <c r="D22" s="92">
        <f t="shared" si="3"/>
        <v>0.021740103800155453</v>
      </c>
      <c r="E22" s="122">
        <f t="shared" si="4"/>
        <v>0.021740103800155453</v>
      </c>
      <c r="F22" s="70"/>
      <c r="G22" s="117">
        <f t="shared" si="5"/>
        <v>2000000</v>
      </c>
      <c r="H22" s="6">
        <f t="shared" si="0"/>
        <v>30</v>
      </c>
      <c r="I22" s="29">
        <f t="shared" si="1"/>
        <v>43480.2076003109</v>
      </c>
      <c r="J22" s="70"/>
      <c r="K22" s="140"/>
      <c r="L22" s="110">
        <f t="shared" si="6"/>
        <v>172588.5607329867</v>
      </c>
      <c r="M22" s="110">
        <f t="shared" si="7"/>
        <v>2172588.560732987</v>
      </c>
    </row>
    <row r="23" spans="1:13" ht="12.75">
      <c r="A23" s="93">
        <f t="shared" si="8"/>
        <v>41760</v>
      </c>
      <c r="B23" s="93">
        <f t="shared" si="2"/>
        <v>41790</v>
      </c>
      <c r="C23" s="92">
        <f>VLOOKUP(A23,'intereses desde el 71'!$A:$XFD,IF(A23&lt;Nuevo_Int_Ca,3,IF(Comercial_Ca="x",3,IF(Consumo_Ca="x",4,IF(Microcréd_Ca="x",5)))))</f>
        <v>0.1963</v>
      </c>
      <c r="D23" s="92">
        <f t="shared" si="3"/>
        <v>0.021740103800155453</v>
      </c>
      <c r="E23" s="122">
        <f t="shared" si="4"/>
        <v>0.021740103800155453</v>
      </c>
      <c r="F23" s="70"/>
      <c r="G23" s="117">
        <f t="shared" si="5"/>
        <v>2000000</v>
      </c>
      <c r="H23" s="6">
        <f t="shared" si="0"/>
        <v>30</v>
      </c>
      <c r="I23" s="29">
        <f t="shared" si="1"/>
        <v>43480.2076003109</v>
      </c>
      <c r="J23" s="70"/>
      <c r="K23" s="140"/>
      <c r="L23" s="110">
        <f t="shared" si="6"/>
        <v>216068.7683332976</v>
      </c>
      <c r="M23" s="110">
        <f t="shared" si="7"/>
        <v>2216068.7683332977</v>
      </c>
    </row>
    <row r="24" spans="1:13" ht="12.75">
      <c r="A24" s="93">
        <f t="shared" si="8"/>
        <v>41791</v>
      </c>
      <c r="B24" s="93">
        <f t="shared" si="2"/>
        <v>41820</v>
      </c>
      <c r="C24" s="92">
        <f>VLOOKUP(A24,'intereses desde el 71'!$A:$XFD,IF(A24&lt;Nuevo_Int_Ca,3,IF(Comercial_Ca="x",3,IF(Consumo_Ca="x",4,IF(Microcréd_Ca="x",5)))))</f>
        <v>0.1963</v>
      </c>
      <c r="D24" s="92">
        <f t="shared" si="3"/>
        <v>0.021740103800155453</v>
      </c>
      <c r="E24" s="122">
        <f t="shared" si="4"/>
        <v>0.021740103800155453</v>
      </c>
      <c r="F24" s="70"/>
      <c r="G24" s="117">
        <f t="shared" si="5"/>
        <v>2000000</v>
      </c>
      <c r="H24" s="6">
        <f t="shared" si="0"/>
        <v>30</v>
      </c>
      <c r="I24" s="29">
        <f t="shared" si="1"/>
        <v>43480.2076003109</v>
      </c>
      <c r="J24" s="70"/>
      <c r="K24" s="140"/>
      <c r="L24" s="110">
        <f t="shared" si="6"/>
        <v>259548.9759336085</v>
      </c>
      <c r="M24" s="110">
        <f t="shared" si="7"/>
        <v>2259548.9759336086</v>
      </c>
    </row>
    <row r="25" spans="1:13" ht="12.75">
      <c r="A25" s="93">
        <f t="shared" si="8"/>
        <v>41821</v>
      </c>
      <c r="B25" s="93">
        <f t="shared" si="2"/>
        <v>41851</v>
      </c>
      <c r="C25" s="92">
        <f>VLOOKUP(A25,'intereses desde el 71'!$A:$XFD,IF(A25&lt;Nuevo_Int_Ca,3,IF(Comercial_Ca="x",3,IF(Consumo_Ca="x",4,IF(Microcréd_Ca="x",5)))))</f>
        <v>0.1933</v>
      </c>
      <c r="D25" s="92">
        <f t="shared" si="3"/>
        <v>0.021443634727683625</v>
      </c>
      <c r="E25" s="122">
        <f t="shared" si="4"/>
        <v>0.021443634727683625</v>
      </c>
      <c r="F25" s="70"/>
      <c r="G25" s="117">
        <f t="shared" si="5"/>
        <v>2000000</v>
      </c>
      <c r="H25" s="6">
        <f t="shared" si="0"/>
        <v>30</v>
      </c>
      <c r="I25" s="29">
        <f t="shared" si="1"/>
        <v>42887.26945536725</v>
      </c>
      <c r="J25" s="70"/>
      <c r="K25" s="140"/>
      <c r="L25" s="110">
        <f t="shared" si="6"/>
        <v>302436.2453889758</v>
      </c>
      <c r="M25" s="110">
        <f t="shared" si="7"/>
        <v>2302436.245388976</v>
      </c>
    </row>
    <row r="26" spans="1:13" ht="12.75">
      <c r="A26" s="93">
        <f t="shared" si="8"/>
        <v>41852</v>
      </c>
      <c r="B26" s="93">
        <f t="shared" si="2"/>
        <v>41882</v>
      </c>
      <c r="C26" s="92">
        <f>VLOOKUP(A26,'intereses desde el 71'!$A:$XFD,IF(A26&lt;Nuevo_Int_Ca,3,IF(Comercial_Ca="x",3,IF(Consumo_Ca="x",4,IF(Microcréd_Ca="x",5)))))</f>
        <v>0.1933</v>
      </c>
      <c r="D26" s="92">
        <f t="shared" si="3"/>
        <v>0.021443634727683625</v>
      </c>
      <c r="E26" s="122">
        <f t="shared" si="4"/>
        <v>0.021443634727683625</v>
      </c>
      <c r="F26" s="70"/>
      <c r="G26" s="117">
        <f t="shared" si="5"/>
        <v>2000000</v>
      </c>
      <c r="H26" s="6">
        <f t="shared" si="0"/>
        <v>30</v>
      </c>
      <c r="I26" s="29">
        <f t="shared" si="1"/>
        <v>42887.26945536725</v>
      </c>
      <c r="J26" s="70"/>
      <c r="K26" s="140"/>
      <c r="L26" s="110">
        <f t="shared" si="6"/>
        <v>345323.514844343</v>
      </c>
      <c r="M26" s="110">
        <f t="shared" si="7"/>
        <v>2345323.514844343</v>
      </c>
    </row>
    <row r="27" spans="1:13" ht="12.75">
      <c r="A27" s="93">
        <f t="shared" si="8"/>
        <v>41883</v>
      </c>
      <c r="B27" s="93">
        <f t="shared" si="2"/>
        <v>41912</v>
      </c>
      <c r="C27" s="92">
        <v>0.1937</v>
      </c>
      <c r="D27" s="92">
        <f t="shared" si="3"/>
        <v>0.021483218662772696</v>
      </c>
      <c r="E27" s="122">
        <f t="shared" si="4"/>
        <v>0.021483218662772696</v>
      </c>
      <c r="F27" s="70"/>
      <c r="G27" s="117">
        <f t="shared" si="5"/>
        <v>2000000</v>
      </c>
      <c r="H27" s="6">
        <f t="shared" si="0"/>
        <v>30</v>
      </c>
      <c r="I27" s="29">
        <f t="shared" si="1"/>
        <v>42966.43732554539</v>
      </c>
      <c r="J27" s="70"/>
      <c r="K27" s="140"/>
      <c r="L27" s="110">
        <f t="shared" si="6"/>
        <v>388289.9521698884</v>
      </c>
      <c r="M27" s="110">
        <f t="shared" si="7"/>
        <v>2388289.9521698887</v>
      </c>
    </row>
    <row r="28" spans="1:13" ht="12.75">
      <c r="A28" s="93">
        <f t="shared" si="8"/>
        <v>41913</v>
      </c>
      <c r="B28" s="93">
        <f t="shared" si="2"/>
        <v>41943</v>
      </c>
      <c r="C28" s="92">
        <v>0.1932</v>
      </c>
      <c r="D28" s="92">
        <f t="shared" si="3"/>
        <v>0.02143373610682331</v>
      </c>
      <c r="E28" s="122">
        <f t="shared" si="4"/>
        <v>0.02143373610682331</v>
      </c>
      <c r="F28" s="70"/>
      <c r="G28" s="117">
        <f t="shared" si="5"/>
        <v>2000000</v>
      </c>
      <c r="H28" s="6">
        <f t="shared" si="0"/>
        <v>30</v>
      </c>
      <c r="I28" s="29">
        <f t="shared" si="1"/>
        <v>42867.472213646615</v>
      </c>
      <c r="J28" s="70"/>
      <c r="K28" s="140"/>
      <c r="L28" s="110">
        <f t="shared" si="6"/>
        <v>431157.42438353505</v>
      </c>
      <c r="M28" s="110">
        <f t="shared" si="7"/>
        <v>2431157.424383535</v>
      </c>
    </row>
    <row r="29" spans="1:13" ht="12.75">
      <c r="A29" s="93">
        <f t="shared" si="8"/>
        <v>41944</v>
      </c>
      <c r="B29" s="93">
        <f t="shared" si="2"/>
        <v>41973</v>
      </c>
      <c r="C29" s="92">
        <v>0.1934</v>
      </c>
      <c r="D29" s="92">
        <f t="shared" si="3"/>
        <v>0.021453532293473465</v>
      </c>
      <c r="E29" s="122">
        <f t="shared" si="4"/>
        <v>0.021453532293473465</v>
      </c>
      <c r="F29" s="70"/>
      <c r="G29" s="117">
        <f t="shared" si="5"/>
        <v>2000000</v>
      </c>
      <c r="H29" s="6">
        <f t="shared" si="0"/>
        <v>30</v>
      </c>
      <c r="I29" s="29">
        <f t="shared" si="1"/>
        <v>42907.06458694693</v>
      </c>
      <c r="J29" s="70"/>
      <c r="K29" s="140"/>
      <c r="L29" s="110">
        <f t="shared" si="6"/>
        <v>474064.48897048197</v>
      </c>
      <c r="M29" s="110">
        <f t="shared" si="7"/>
        <v>2474064.488970482</v>
      </c>
    </row>
    <row r="30" spans="1:13" ht="12.75">
      <c r="A30" s="93">
        <f t="shared" si="8"/>
        <v>41974</v>
      </c>
      <c r="B30" s="93">
        <f t="shared" si="2"/>
        <v>42004</v>
      </c>
      <c r="C30" s="92">
        <v>0.197</v>
      </c>
      <c r="D30" s="92">
        <f t="shared" si="3"/>
        <v>0.021809143962671307</v>
      </c>
      <c r="E30" s="122">
        <f t="shared" si="4"/>
        <v>0.021809143962671307</v>
      </c>
      <c r="F30" s="70"/>
      <c r="G30" s="117">
        <f t="shared" si="5"/>
        <v>2000000</v>
      </c>
      <c r="H30" s="6">
        <f t="shared" si="0"/>
        <v>30</v>
      </c>
      <c r="I30" s="29">
        <f t="shared" si="1"/>
        <v>43618.287925342614</v>
      </c>
      <c r="J30" s="70"/>
      <c r="K30" s="140"/>
      <c r="L30" s="110">
        <f t="shared" si="6"/>
        <v>517682.7768958246</v>
      </c>
      <c r="M30" s="110">
        <f t="shared" si="7"/>
        <v>2517682.7768958244</v>
      </c>
    </row>
    <row r="31" spans="1:13" ht="12.75">
      <c r="A31" s="93">
        <f t="shared" si="8"/>
        <v>42005</v>
      </c>
      <c r="B31" s="93">
        <f t="shared" si="2"/>
        <v>42035</v>
      </c>
      <c r="C31" s="92">
        <v>0.193</v>
      </c>
      <c r="D31" s="92">
        <f t="shared" si="3"/>
        <v>0.02141393569895156</v>
      </c>
      <c r="E31" s="122">
        <f t="shared" si="4"/>
        <v>0.02141393569895156</v>
      </c>
      <c r="F31" s="70"/>
      <c r="G31" s="117">
        <f t="shared" si="5"/>
        <v>2000000</v>
      </c>
      <c r="H31" s="6">
        <f t="shared" si="0"/>
        <v>30</v>
      </c>
      <c r="I31" s="29">
        <f t="shared" si="1"/>
        <v>42827.871397903116</v>
      </c>
      <c r="J31" s="70"/>
      <c r="K31" s="140"/>
      <c r="L31" s="110">
        <f t="shared" si="6"/>
        <v>560510.6482937277</v>
      </c>
      <c r="M31" s="110">
        <f t="shared" si="7"/>
        <v>2560510.6482937275</v>
      </c>
    </row>
    <row r="32" spans="1:13" ht="12.75">
      <c r="A32" s="93">
        <f t="shared" si="8"/>
        <v>42036</v>
      </c>
      <c r="B32" s="93">
        <f t="shared" si="2"/>
        <v>42063</v>
      </c>
      <c r="C32" s="92">
        <f>VLOOKUP(A32,'intereses desde el 71'!$A:$XFD,IF(A32&lt;Nuevo_Int_Ca,3,IF(Comercial_Ca="x",3,IF(Consumo_Ca="x",4,IF(Microcréd_Ca="x",5)))))</f>
        <v>0.1921</v>
      </c>
      <c r="D32" s="92">
        <f t="shared" si="3"/>
        <v>0.021324781575405183</v>
      </c>
      <c r="E32" s="122">
        <f t="shared" si="4"/>
        <v>0.021324781575405183</v>
      </c>
      <c r="F32" s="70"/>
      <c r="G32" s="117">
        <f t="shared" si="5"/>
        <v>2000000</v>
      </c>
      <c r="H32" s="6">
        <f t="shared" si="0"/>
        <v>30</v>
      </c>
      <c r="I32" s="29">
        <f t="shared" si="1"/>
        <v>42649.56315081037</v>
      </c>
      <c r="J32" s="70"/>
      <c r="K32" s="140"/>
      <c r="L32" s="110">
        <f t="shared" si="6"/>
        <v>603160.2114445381</v>
      </c>
      <c r="M32" s="110">
        <f t="shared" si="7"/>
        <v>2603160.211444538</v>
      </c>
    </row>
    <row r="33" spans="1:13" ht="12.75">
      <c r="A33" s="93">
        <f t="shared" si="8"/>
        <v>42064</v>
      </c>
      <c r="B33" s="93">
        <f t="shared" si="2"/>
        <v>42094</v>
      </c>
      <c r="C33" s="92">
        <f>VLOOKUP(A33,'intereses desde el 71'!$A:$XFD,IF(A33&lt;Nuevo_Int_Ca,3,IF(Comercial_Ca="x",3,IF(Consumo_Ca="x",4,IF(Microcréd_Ca="x",5)))))</f>
        <v>0.1921</v>
      </c>
      <c r="D33" s="92">
        <f t="shared" si="3"/>
        <v>0.021324781575405183</v>
      </c>
      <c r="E33" s="122">
        <f t="shared" si="4"/>
        <v>0.021324781575405183</v>
      </c>
      <c r="F33" s="70"/>
      <c r="G33" s="117">
        <f t="shared" si="5"/>
        <v>2000000</v>
      </c>
      <c r="H33" s="6">
        <f t="shared" si="0"/>
        <v>30</v>
      </c>
      <c r="I33" s="29">
        <f t="shared" si="1"/>
        <v>42649.56315081037</v>
      </c>
      <c r="J33" s="70"/>
      <c r="K33" s="140"/>
      <c r="L33" s="110">
        <f t="shared" si="6"/>
        <v>645809.7745953484</v>
      </c>
      <c r="M33" s="110">
        <f t="shared" si="7"/>
        <v>2645809.7745953486</v>
      </c>
    </row>
    <row r="34" spans="1:13" ht="12.75">
      <c r="A34" s="93">
        <f t="shared" si="8"/>
        <v>42095</v>
      </c>
      <c r="B34" s="93">
        <f t="shared" si="2"/>
        <v>42124</v>
      </c>
      <c r="C34" s="92">
        <f>VLOOKUP(A34,'intereses desde el 71'!$A:$XFD,IF(A34&lt;Nuevo_Int_Ca,3,IF(Comercial_Ca="x",3,IF(Consumo_Ca="x",4,IF(Microcréd_Ca="x",5)))))</f>
        <v>0.1937</v>
      </c>
      <c r="D34" s="92">
        <f t="shared" si="3"/>
        <v>0.021483218662772696</v>
      </c>
      <c r="E34" s="122">
        <f t="shared" si="4"/>
        <v>0.021483218662772696</v>
      </c>
      <c r="F34" s="70"/>
      <c r="G34" s="117">
        <f t="shared" si="5"/>
        <v>2000000</v>
      </c>
      <c r="H34" s="6">
        <f t="shared" si="0"/>
        <v>30</v>
      </c>
      <c r="I34" s="29">
        <f t="shared" si="1"/>
        <v>42966.43732554539</v>
      </c>
      <c r="J34" s="70"/>
      <c r="K34" s="140"/>
      <c r="L34" s="110">
        <f t="shared" si="6"/>
        <v>688776.2119208938</v>
      </c>
      <c r="M34" s="110">
        <f t="shared" si="7"/>
        <v>2688776.211920894</v>
      </c>
    </row>
    <row r="35" spans="1:13" ht="12.75">
      <c r="A35" s="93">
        <f t="shared" si="8"/>
        <v>42125</v>
      </c>
      <c r="B35" s="93">
        <f t="shared" si="2"/>
        <v>42155</v>
      </c>
      <c r="C35" s="92">
        <f>VLOOKUP(A35,'intereses desde el 71'!$A:$XFD,IF(A35&lt;Nuevo_Int_Ca,3,IF(Comercial_Ca="x",3,IF(Consumo_Ca="x",4,IF(Microcréd_Ca="x",5)))))</f>
        <v>0.1937</v>
      </c>
      <c r="D35" s="92">
        <f t="shared" si="3"/>
        <v>0.021483218662772696</v>
      </c>
      <c r="E35" s="122">
        <f t="shared" si="4"/>
        <v>0.021483218662772696</v>
      </c>
      <c r="F35" s="70"/>
      <c r="G35" s="117">
        <f t="shared" si="5"/>
        <v>2000000</v>
      </c>
      <c r="H35" s="6">
        <f t="shared" si="0"/>
        <v>30</v>
      </c>
      <c r="I35" s="29">
        <f t="shared" si="1"/>
        <v>42966.43732554539</v>
      </c>
      <c r="J35" s="70"/>
      <c r="K35" s="140"/>
      <c r="L35" s="110">
        <f t="shared" si="6"/>
        <v>731742.6492464391</v>
      </c>
      <c r="M35" s="110">
        <f t="shared" si="7"/>
        <v>2731742.64924644</v>
      </c>
    </row>
    <row r="36" spans="1:13" ht="12.75">
      <c r="A36" s="93">
        <f t="shared" si="8"/>
        <v>42156</v>
      </c>
      <c r="B36" s="93">
        <f t="shared" si="2"/>
        <v>42185</v>
      </c>
      <c r="C36" s="92">
        <f>VLOOKUP(A36,'intereses desde el 71'!$A:$XFD,IF(A36&lt;Nuevo_Int_Ca,3,IF(Comercial_Ca="x",3,IF(Consumo_Ca="x",4,IF(Microcréd_Ca="x",5)))))</f>
        <v>0.1937</v>
      </c>
      <c r="D36" s="92">
        <f t="shared" si="3"/>
        <v>0.021483218662772696</v>
      </c>
      <c r="E36" s="122">
        <f t="shared" si="4"/>
        <v>0.021483218662772696</v>
      </c>
      <c r="F36" s="70"/>
      <c r="G36" s="117">
        <f t="shared" si="5"/>
        <v>2000000</v>
      </c>
      <c r="H36" s="6">
        <f t="shared" si="0"/>
        <v>30</v>
      </c>
      <c r="I36" s="29">
        <f t="shared" si="1"/>
        <v>42966.43732554539</v>
      </c>
      <c r="J36" s="70"/>
      <c r="K36" s="140"/>
      <c r="L36" s="110">
        <f t="shared" si="6"/>
        <v>774709.0865719845</v>
      </c>
      <c r="M36" s="110">
        <f t="shared" si="7"/>
        <v>2774709.0865719854</v>
      </c>
    </row>
    <row r="37" spans="1:13" ht="12.75">
      <c r="A37" s="93">
        <f t="shared" si="8"/>
        <v>42186</v>
      </c>
      <c r="B37" s="93">
        <f t="shared" si="2"/>
        <v>42216</v>
      </c>
      <c r="C37" s="92">
        <f>VLOOKUP(A37,'intereses desde el 71'!$A:$XFD,IF(A37&lt;Nuevo_Int_Ca,3,IF(Comercial_Ca="x",3,IF(Consumo_Ca="x",4,IF(Microcréd_Ca="x",5)))))</f>
        <v>0.1926</v>
      </c>
      <c r="D37" s="92">
        <f t="shared" si="3"/>
        <v>0.0213743222120113</v>
      </c>
      <c r="E37" s="122">
        <f t="shared" si="4"/>
        <v>0.0213743222120113</v>
      </c>
      <c r="F37" s="70"/>
      <c r="G37" s="117">
        <f t="shared" si="5"/>
        <v>2000000</v>
      </c>
      <c r="H37" s="6">
        <f t="shared" si="0"/>
        <v>30</v>
      </c>
      <c r="I37" s="29">
        <f t="shared" si="1"/>
        <v>42748.6444240226</v>
      </c>
      <c r="J37" s="70"/>
      <c r="K37" s="140"/>
      <c r="L37" s="110">
        <f aca="true" t="shared" si="9" ref="L37:L47">IF(L36&lt;0,I37-J37,L36+I37-J37)</f>
        <v>817457.7309960071</v>
      </c>
      <c r="M37" s="110">
        <f aca="true" t="shared" si="10" ref="M37:M47">SUM(M36,F37,I37)-J37</f>
        <v>2817457.730996008</v>
      </c>
    </row>
    <row r="38" spans="1:13" ht="12.75">
      <c r="A38" s="93">
        <f t="shared" si="8"/>
        <v>42217</v>
      </c>
      <c r="B38" s="93">
        <f t="shared" si="2"/>
        <v>42247</v>
      </c>
      <c r="C38" s="92">
        <f>VLOOKUP(A38,'intereses desde el 71'!$A:$XFD,IF(A38&lt;Nuevo_Int_Ca,3,IF(Comercial_Ca="x",3,IF(Consumo_Ca="x",4,IF(Microcréd_Ca="x",5)))))</f>
        <v>0.1926</v>
      </c>
      <c r="D38" s="92">
        <f t="shared" si="3"/>
        <v>0.0213743222120113</v>
      </c>
      <c r="E38" s="122">
        <f t="shared" si="4"/>
        <v>0.0213743222120113</v>
      </c>
      <c r="F38" s="70"/>
      <c r="G38" s="117">
        <f t="shared" si="5"/>
        <v>2000000</v>
      </c>
      <c r="H38" s="6">
        <f t="shared" si="0"/>
        <v>30</v>
      </c>
      <c r="I38" s="29">
        <f t="shared" si="1"/>
        <v>42748.6444240226</v>
      </c>
      <c r="J38" s="70"/>
      <c r="K38" s="140"/>
      <c r="L38" s="110">
        <f t="shared" si="9"/>
        <v>860206.3754200297</v>
      </c>
      <c r="M38" s="110">
        <f t="shared" si="10"/>
        <v>2860206.3754200307</v>
      </c>
    </row>
    <row r="39" spans="1:13" ht="15" customHeight="1">
      <c r="A39" s="93">
        <f t="shared" si="8"/>
        <v>42248</v>
      </c>
      <c r="B39" s="93">
        <f t="shared" si="2"/>
        <v>42277</v>
      </c>
      <c r="C39" s="92">
        <f>VLOOKUP(A39,'intereses desde el 71'!$A:$XFD,IF(A39&lt;Nuevo_Int_Ca,3,IF(Comercial_Ca="x",3,IF(Consumo_Ca="x",4,IF(Microcréd_Ca="x",5)))))</f>
        <v>0.1926</v>
      </c>
      <c r="D39" s="92">
        <f t="shared" si="3"/>
        <v>0.0213743222120113</v>
      </c>
      <c r="E39" s="122">
        <f t="shared" si="4"/>
        <v>0.0213743222120113</v>
      </c>
      <c r="F39" s="70"/>
      <c r="G39" s="117">
        <f t="shared" si="5"/>
        <v>2000000</v>
      </c>
      <c r="H39" s="6">
        <f t="shared" si="0"/>
        <v>30</v>
      </c>
      <c r="I39" s="29">
        <f t="shared" si="1"/>
        <v>42748.6444240226</v>
      </c>
      <c r="J39" s="70"/>
      <c r="K39" s="140"/>
      <c r="L39" s="110">
        <f t="shared" si="9"/>
        <v>902955.0198440524</v>
      </c>
      <c r="M39" s="110">
        <f t="shared" si="10"/>
        <v>2902955.0198440533</v>
      </c>
    </row>
    <row r="40" spans="1:13" ht="12.75">
      <c r="A40" s="93">
        <f t="shared" si="8"/>
        <v>42278</v>
      </c>
      <c r="B40" s="93">
        <f t="shared" si="2"/>
        <v>42308</v>
      </c>
      <c r="C40" s="92">
        <f>VLOOKUP(A40,'intereses desde el 71'!$A:$XFD,IF(A40&lt;Nuevo_Int_Ca,3,IF(Comercial_Ca="x",3,IF(Consumo_Ca="x",4,IF(Microcréd_Ca="x",5)))))</f>
        <v>0.1926</v>
      </c>
      <c r="D40" s="92">
        <f t="shared" si="3"/>
        <v>0.0213743222120113</v>
      </c>
      <c r="E40" s="122">
        <f t="shared" si="4"/>
        <v>0.0213743222120113</v>
      </c>
      <c r="F40" s="70"/>
      <c r="G40" s="117">
        <f t="shared" si="5"/>
        <v>2000000</v>
      </c>
      <c r="H40" s="6">
        <f t="shared" si="0"/>
        <v>30</v>
      </c>
      <c r="I40" s="29">
        <f t="shared" si="1"/>
        <v>42748.6444240226</v>
      </c>
      <c r="J40" s="70"/>
      <c r="K40" s="140"/>
      <c r="L40" s="110">
        <f t="shared" si="9"/>
        <v>945703.664268075</v>
      </c>
      <c r="M40" s="110">
        <f t="shared" si="10"/>
        <v>2945703.664268076</v>
      </c>
    </row>
    <row r="41" spans="1:13" ht="12.75">
      <c r="A41" s="93">
        <f t="shared" si="8"/>
        <v>42309</v>
      </c>
      <c r="B41" s="93">
        <f t="shared" si="2"/>
        <v>42338</v>
      </c>
      <c r="C41" s="92">
        <f>VLOOKUP(A41,'intereses desde el 71'!$A:$XFD,IF(A41&lt;Nuevo_Int_Ca,3,IF(Comercial_Ca="x",3,IF(Consumo_Ca="x",4,IF(Microcréd_Ca="x",5)))))</f>
        <v>0.1926</v>
      </c>
      <c r="D41" s="92">
        <f t="shared" si="3"/>
        <v>0.0213743222120113</v>
      </c>
      <c r="E41" s="122">
        <f t="shared" si="4"/>
        <v>0.0213743222120113</v>
      </c>
      <c r="F41" s="70"/>
      <c r="G41" s="117">
        <f t="shared" si="5"/>
        <v>2000000</v>
      </c>
      <c r="H41" s="6">
        <f t="shared" si="0"/>
        <v>30</v>
      </c>
      <c r="I41" s="29">
        <f t="shared" si="1"/>
        <v>42748.6444240226</v>
      </c>
      <c r="J41" s="70"/>
      <c r="K41" s="140"/>
      <c r="L41" s="110">
        <f t="shared" si="9"/>
        <v>988452.3086920977</v>
      </c>
      <c r="M41" s="110">
        <f t="shared" si="10"/>
        <v>2988452.3086920986</v>
      </c>
    </row>
    <row r="42" spans="1:13" ht="13.5" customHeight="1">
      <c r="A42" s="93">
        <f t="shared" si="8"/>
        <v>42339</v>
      </c>
      <c r="B42" s="93">
        <f t="shared" si="2"/>
        <v>42369</v>
      </c>
      <c r="C42" s="92">
        <f>VLOOKUP(A42,'intereses desde el 71'!$A:$XFD,IF(A42&lt;Nuevo_Int_Ca,3,IF(Comercial_Ca="x",3,IF(Consumo_Ca="x",4,IF(Microcréd_Ca="x",5)))))</f>
        <v>0.1926</v>
      </c>
      <c r="D42" s="92">
        <f t="shared" si="3"/>
        <v>0.0213743222120113</v>
      </c>
      <c r="E42" s="122">
        <f t="shared" si="4"/>
        <v>0.0213743222120113</v>
      </c>
      <c r="F42" s="70"/>
      <c r="G42" s="117">
        <f t="shared" si="5"/>
        <v>2000000</v>
      </c>
      <c r="H42" s="6">
        <f t="shared" si="0"/>
        <v>30</v>
      </c>
      <c r="I42" s="29">
        <f t="shared" si="1"/>
        <v>42748.6444240226</v>
      </c>
      <c r="J42" s="70">
        <v>156575.91</v>
      </c>
      <c r="K42" s="140"/>
      <c r="L42" s="110">
        <f t="shared" si="9"/>
        <v>874625.0431161203</v>
      </c>
      <c r="M42" s="110">
        <f t="shared" si="10"/>
        <v>2874625.043116121</v>
      </c>
    </row>
    <row r="43" spans="1:13" ht="12.75">
      <c r="A43" s="93">
        <f t="shared" si="8"/>
        <v>42370</v>
      </c>
      <c r="B43" s="93">
        <f t="shared" si="2"/>
        <v>42400</v>
      </c>
      <c r="C43" s="92">
        <f>VLOOKUP(A43,'intereses desde el 71'!$A:$XFD,IF(A43&lt;Nuevo_Int_Ca,3,IF(Comercial_Ca="x",3,IF(Consumo_Ca="x",4,IF(Microcréd_Ca="x",5)))))</f>
        <v>0.1968</v>
      </c>
      <c r="D43" s="92">
        <f t="shared" si="3"/>
        <v>0.021789423437557742</v>
      </c>
      <c r="E43" s="122">
        <f t="shared" si="4"/>
        <v>0.021789423437557742</v>
      </c>
      <c r="F43" s="70"/>
      <c r="G43" s="117">
        <f t="shared" si="5"/>
        <v>2000000</v>
      </c>
      <c r="H43" s="6">
        <f t="shared" si="0"/>
        <v>30</v>
      </c>
      <c r="I43" s="29">
        <f t="shared" si="1"/>
        <v>43578.84687511549</v>
      </c>
      <c r="J43" s="70">
        <v>156575.91</v>
      </c>
      <c r="K43" s="140"/>
      <c r="L43" s="110">
        <f t="shared" si="9"/>
        <v>761627.9799912358</v>
      </c>
      <c r="M43" s="110">
        <f t="shared" si="10"/>
        <v>2761627.9799912362</v>
      </c>
    </row>
    <row r="44" spans="1:13" ht="12.75">
      <c r="A44" s="93">
        <f t="shared" si="8"/>
        <v>42401</v>
      </c>
      <c r="B44" s="93">
        <f t="shared" si="2"/>
        <v>42429</v>
      </c>
      <c r="C44" s="92">
        <f>VLOOKUP(A44,'intereses desde el 71'!$A:$XFD,IF(A44&lt;Nuevo_Int_Ca,3,IF(Comercial_Ca="x",3,IF(Consumo_Ca="x",4,IF(Microcréd_Ca="x",5)))))</f>
        <v>0.1968</v>
      </c>
      <c r="D44" s="92">
        <f t="shared" si="3"/>
        <v>0.021789423437557742</v>
      </c>
      <c r="E44" s="122">
        <f t="shared" si="4"/>
        <v>0.021789423437557742</v>
      </c>
      <c r="F44" s="70"/>
      <c r="G44" s="117">
        <f t="shared" si="5"/>
        <v>2000000</v>
      </c>
      <c r="H44" s="6">
        <f t="shared" si="0"/>
        <v>30</v>
      </c>
      <c r="I44" s="29">
        <f t="shared" si="1"/>
        <v>43578.84687511549</v>
      </c>
      <c r="J44" s="70">
        <v>156575.91</v>
      </c>
      <c r="K44" s="140"/>
      <c r="L44" s="110">
        <f t="shared" si="9"/>
        <v>648630.9168663513</v>
      </c>
      <c r="M44" s="110">
        <f t="shared" si="10"/>
        <v>2648630.9168663514</v>
      </c>
    </row>
    <row r="45" spans="1:13" ht="12.75">
      <c r="A45" s="93">
        <f t="shared" si="8"/>
        <v>42430</v>
      </c>
      <c r="B45" s="93">
        <f t="shared" si="2"/>
        <v>42460</v>
      </c>
      <c r="C45" s="92">
        <f>VLOOKUP(A45,'intereses desde el 71'!$A:$XFD,IF(A45&lt;Nuevo_Int_Ca,3,IF(Comercial_Ca="x",3,IF(Consumo_Ca="x",4,IF(Microcréd_Ca="x",5)))))</f>
        <v>0.1968</v>
      </c>
      <c r="D45" s="92">
        <f t="shared" si="3"/>
        <v>0.021789423437557742</v>
      </c>
      <c r="E45" s="122">
        <f t="shared" si="4"/>
        <v>0.021789423437557742</v>
      </c>
      <c r="F45" s="70"/>
      <c r="G45" s="117">
        <f t="shared" si="5"/>
        <v>2000000</v>
      </c>
      <c r="H45" s="6">
        <f t="shared" si="0"/>
        <v>30</v>
      </c>
      <c r="I45" s="29">
        <f t="shared" si="1"/>
        <v>43578.84687511549</v>
      </c>
      <c r="J45" s="70">
        <f>148295.11+38423</f>
        <v>186718.11</v>
      </c>
      <c r="K45" s="140"/>
      <c r="L45" s="110">
        <f t="shared" si="9"/>
        <v>505491.6537414668</v>
      </c>
      <c r="M45" s="110">
        <f t="shared" si="10"/>
        <v>2505491.653741467</v>
      </c>
    </row>
    <row r="46" spans="1:13" ht="12.75">
      <c r="A46" s="93">
        <f t="shared" si="8"/>
        <v>42461</v>
      </c>
      <c r="B46" s="93">
        <f t="shared" si="2"/>
        <v>42490</v>
      </c>
      <c r="C46" s="92">
        <f>VLOOKUP(A46,'intereses desde el 71'!$A:$XFD,IF(A46&lt;Nuevo_Int_Ca,3,IF(Comercial_Ca="x",3,IF(Consumo_Ca="x",4,IF(Microcréd_Ca="x",5)))))</f>
        <v>0.2054</v>
      </c>
      <c r="D46" s="92">
        <f t="shared" si="3"/>
        <v>0.02263364909982224</v>
      </c>
      <c r="E46" s="122">
        <f t="shared" si="4"/>
        <v>0.02263364909982224</v>
      </c>
      <c r="F46" s="70"/>
      <c r="G46" s="117">
        <f t="shared" si="5"/>
        <v>2000000</v>
      </c>
      <c r="H46" s="6">
        <f t="shared" si="0"/>
        <v>30</v>
      </c>
      <c r="I46" s="29">
        <f t="shared" si="1"/>
        <v>45267.29819964448</v>
      </c>
      <c r="J46" s="70">
        <v>94389</v>
      </c>
      <c r="K46" s="140"/>
      <c r="L46" s="110">
        <f t="shared" si="9"/>
        <v>456369.95194111124</v>
      </c>
      <c r="M46" s="110">
        <f t="shared" si="10"/>
        <v>2456369.951941111</v>
      </c>
    </row>
    <row r="47" spans="1:13" ht="12.75">
      <c r="A47" s="93">
        <f t="shared" si="8"/>
        <v>42491</v>
      </c>
      <c r="B47" s="93">
        <f t="shared" si="2"/>
        <v>42521</v>
      </c>
      <c r="C47" s="92">
        <f>VLOOKUP(A47,'intereses desde el 71'!$A:$XFD,IF(A47&lt;Nuevo_Int_Ca,3,IF(Comercial_Ca="x",3,IF(Consumo_Ca="x",4,IF(Microcréd_Ca="x",5)))))</f>
        <v>0.2054</v>
      </c>
      <c r="D47" s="92">
        <f t="shared" si="3"/>
        <v>0.02263364909982224</v>
      </c>
      <c r="E47" s="122">
        <f t="shared" si="4"/>
        <v>0.02263364909982224</v>
      </c>
      <c r="F47" s="70"/>
      <c r="G47" s="117">
        <f t="shared" si="5"/>
        <v>2000000</v>
      </c>
      <c r="H47" s="6">
        <f t="shared" si="0"/>
        <v>30</v>
      </c>
      <c r="I47" s="29">
        <f t="shared" si="1"/>
        <v>45267.29819964448</v>
      </c>
      <c r="J47" s="70">
        <v>94389</v>
      </c>
      <c r="K47" s="140"/>
      <c r="L47" s="110">
        <f t="shared" si="9"/>
        <v>407248.2501407557</v>
      </c>
      <c r="M47" s="110">
        <f t="shared" si="10"/>
        <v>2407248.2501407554</v>
      </c>
    </row>
    <row r="48" spans="1:13" ht="12.75">
      <c r="A48" s="93">
        <f t="shared" si="8"/>
        <v>42522</v>
      </c>
      <c r="B48" s="93">
        <f t="shared" si="2"/>
        <v>42551</v>
      </c>
      <c r="C48" s="92">
        <f>VLOOKUP(A48,'intereses desde el 71'!$A:$XFD,IF(A48&lt;Nuevo_Int_Ca,3,IF(Comercial_Ca="x",3,IF(Consumo_Ca="x",4,IF(Microcréd_Ca="x",5)))))</f>
        <v>0.2054</v>
      </c>
      <c r="D48" s="92">
        <f t="shared" si="3"/>
        <v>0.02263364909982224</v>
      </c>
      <c r="E48" s="122">
        <f t="shared" si="4"/>
        <v>0.02263364909982224</v>
      </c>
      <c r="F48" s="70"/>
      <c r="G48" s="117">
        <f t="shared" si="5"/>
        <v>2000000</v>
      </c>
      <c r="H48" s="6">
        <f t="shared" si="0"/>
        <v>30</v>
      </c>
      <c r="I48" s="29">
        <f t="shared" si="1"/>
        <v>45267.29819964448</v>
      </c>
      <c r="J48" s="70">
        <v>112437</v>
      </c>
      <c r="K48" s="140"/>
      <c r="L48" s="110">
        <f t="shared" si="6"/>
        <v>340078.5483404002</v>
      </c>
      <c r="M48" s="110">
        <f t="shared" si="7"/>
        <v>2340078.5483403997</v>
      </c>
    </row>
    <row r="49" spans="1:13" ht="12.75">
      <c r="A49" s="93">
        <f t="shared" si="8"/>
        <v>42552</v>
      </c>
      <c r="B49" s="93">
        <f t="shared" si="2"/>
        <v>42582</v>
      </c>
      <c r="C49" s="92">
        <f>VLOOKUP(A49,'intereses desde el 71'!$A:$XFD,IF(A49&lt;Nuevo_Int_Ca,3,IF(Comercial_Ca="x",3,IF(Consumo_Ca="x",4,IF(Microcréd_Ca="x",5)))))</f>
        <v>0.2134</v>
      </c>
      <c r="D49" s="92">
        <f t="shared" si="3"/>
        <v>0.023412151466478903</v>
      </c>
      <c r="E49" s="122">
        <f t="shared" si="4"/>
        <v>0.023412151466478903</v>
      </c>
      <c r="F49" s="70"/>
      <c r="G49" s="117">
        <f t="shared" si="5"/>
        <v>2000000</v>
      </c>
      <c r="H49" s="6">
        <f t="shared" si="0"/>
        <v>30</v>
      </c>
      <c r="I49" s="29">
        <f t="shared" si="1"/>
        <v>46824.302932957806</v>
      </c>
      <c r="J49" s="70">
        <v>112437</v>
      </c>
      <c r="K49" s="140"/>
      <c r="L49" s="110">
        <f aca="true" t="shared" si="11" ref="L49:L59">IF(L48&lt;0,I49-J49,L48+I49-J49)</f>
        <v>274465.85127335804</v>
      </c>
      <c r="M49" s="110">
        <f aca="true" t="shared" si="12" ref="M49:M59">SUM(M48,F49,I49)-J49</f>
        <v>2274465.8512733574</v>
      </c>
    </row>
    <row r="50" spans="1:13" ht="12.75">
      <c r="A50" s="93">
        <f t="shared" si="8"/>
        <v>42583</v>
      </c>
      <c r="B50" s="93">
        <f t="shared" si="2"/>
        <v>42613</v>
      </c>
      <c r="C50" s="92">
        <f>VLOOKUP(A50,'intereses desde el 71'!$A:$XFD,IF(A50&lt;Nuevo_Int_Ca,3,IF(Comercial_Ca="x",3,IF(Consumo_Ca="x",4,IF(Microcréd_Ca="x",5)))))</f>
        <v>0.2134</v>
      </c>
      <c r="D50" s="92">
        <f t="shared" si="3"/>
        <v>0.023412151466478903</v>
      </c>
      <c r="E50" s="122">
        <f t="shared" si="4"/>
        <v>0.023412151466478903</v>
      </c>
      <c r="F50" s="70"/>
      <c r="G50" s="117">
        <f t="shared" si="5"/>
        <v>2000000</v>
      </c>
      <c r="H50" s="6">
        <f aca="true" t="shared" si="13" ref="H50:H81">IF(Colm_Des&gt;Mora_Fin,"",IF(A50="","",DAYS360(A50,B50+(1))))</f>
        <v>30</v>
      </c>
      <c r="I50" s="29">
        <f t="shared" si="1"/>
        <v>46824.302932957806</v>
      </c>
      <c r="J50" s="70">
        <v>112437</v>
      </c>
      <c r="K50" s="140"/>
      <c r="L50" s="110">
        <f t="shared" si="11"/>
        <v>208853.15420631587</v>
      </c>
      <c r="M50" s="110">
        <f t="shared" si="12"/>
        <v>2208853.154206315</v>
      </c>
    </row>
    <row r="51" spans="1:13" ht="12.75">
      <c r="A51" s="93">
        <f t="shared" si="8"/>
        <v>42614</v>
      </c>
      <c r="B51" s="93">
        <f t="shared" si="2"/>
        <v>42643</v>
      </c>
      <c r="C51" s="92">
        <f>VLOOKUP(A51,'intereses desde el 71'!$A:$XFD,IF(A51&lt;Nuevo_Int_Ca,3,IF(Comercial_Ca="x",3,IF(Consumo_Ca="x",4,IF(Microcréd_Ca="x",5)))))</f>
        <v>0.2134</v>
      </c>
      <c r="D51" s="92">
        <f t="shared" si="3"/>
        <v>0.023412151466478903</v>
      </c>
      <c r="E51" s="122">
        <f t="shared" si="4"/>
        <v>0.023412151466478903</v>
      </c>
      <c r="F51" s="70"/>
      <c r="G51" s="117">
        <f t="shared" si="5"/>
        <v>2000000</v>
      </c>
      <c r="H51" s="6">
        <f t="shared" si="13"/>
        <v>30</v>
      </c>
      <c r="I51" s="29">
        <f t="shared" si="1"/>
        <v>46824.302932957806</v>
      </c>
      <c r="J51" s="70">
        <v>112437</v>
      </c>
      <c r="K51" s="140"/>
      <c r="L51" s="110">
        <f t="shared" si="11"/>
        <v>143240.45713927367</v>
      </c>
      <c r="M51" s="110">
        <f t="shared" si="12"/>
        <v>2143240.4571392727</v>
      </c>
    </row>
    <row r="52" spans="1:13" ht="12.75">
      <c r="A52" s="93">
        <f t="shared" si="8"/>
        <v>42644</v>
      </c>
      <c r="B52" s="93">
        <f aca="true" t="shared" si="14" ref="B52:B83">IF(AND(A52&gt;=Primar_Ca,A52&lt;=Catmar_Ca),DATE(YEAR(A52),MONTH(A52),14),IF(AND(A52&gt;=Nuevo_Int_Ca,A52&lt;=Sgn_Int_Ca),DATE(YEAR(A52),MONTH(A52),4),IF(A52=DATE(YEAR(Mora_Fin),MONTH(Mora_Fin),DAY(1)),DATE(YEAR(Mora_Fin),MONTH(Mora_Fin),DAY(Mora_Fin)),DATE(YEAR(A52),MONTH(A52)+1,))))</f>
        <v>42674</v>
      </c>
      <c r="C52" s="92">
        <f>VLOOKUP(A52,'intereses desde el 71'!$A:$XFD,IF(A52&lt;Nuevo_Int_Ca,3,IF(Comercial_Ca="x",3,IF(Consumo_Ca="x",4,IF(Microcréd_Ca="x",5)))))</f>
        <v>0.2199</v>
      </c>
      <c r="D52" s="92">
        <f t="shared" si="3"/>
        <v>0.02403992265645094</v>
      </c>
      <c r="E52" s="122">
        <f t="shared" si="4"/>
        <v>0.02403992265645094</v>
      </c>
      <c r="F52" s="70"/>
      <c r="G52" s="117">
        <f t="shared" si="5"/>
        <v>2000000</v>
      </c>
      <c r="H52" s="6">
        <f t="shared" si="13"/>
        <v>30</v>
      </c>
      <c r="I52" s="29">
        <f t="shared" si="1"/>
        <v>48079.84531290188</v>
      </c>
      <c r="J52" s="70">
        <v>122794</v>
      </c>
      <c r="K52" s="140"/>
      <c r="L52" s="110">
        <f t="shared" si="11"/>
        <v>68526.30245217556</v>
      </c>
      <c r="M52" s="110">
        <f t="shared" si="12"/>
        <v>2068526.3024521745</v>
      </c>
    </row>
    <row r="53" spans="1:13" ht="12.75">
      <c r="A53" s="93">
        <f t="shared" si="8"/>
        <v>42675</v>
      </c>
      <c r="B53" s="93">
        <f t="shared" si="14"/>
        <v>42704</v>
      </c>
      <c r="C53" s="92">
        <f>VLOOKUP(A53,'intereses desde el 71'!$A:$XFD,IF(A53&lt;Nuevo_Int_Ca,3,IF(Comercial_Ca="x",3,IF(Consumo_Ca="x",4,IF(Microcréd_Ca="x",5)))))</f>
        <v>0.2199</v>
      </c>
      <c r="D53" s="92">
        <f t="shared" si="3"/>
        <v>0.02403992265645094</v>
      </c>
      <c r="E53" s="122">
        <f t="shared" si="4"/>
        <v>0.02403992265645094</v>
      </c>
      <c r="F53" s="70"/>
      <c r="G53" s="117">
        <f t="shared" si="5"/>
        <v>2000000</v>
      </c>
      <c r="H53" s="6">
        <f t="shared" si="13"/>
        <v>30</v>
      </c>
      <c r="I53" s="29">
        <f t="shared" si="1"/>
        <v>48079.84531290188</v>
      </c>
      <c r="J53" s="70"/>
      <c r="K53" s="140"/>
      <c r="L53" s="110">
        <f t="shared" si="11"/>
        <v>116606.14776507745</v>
      </c>
      <c r="M53" s="110">
        <f t="shared" si="12"/>
        <v>2116606.1477650763</v>
      </c>
    </row>
    <row r="54" spans="1:13" ht="12.75">
      <c r="A54" s="93">
        <f t="shared" si="8"/>
        <v>42705</v>
      </c>
      <c r="B54" s="93">
        <f t="shared" si="14"/>
        <v>42735</v>
      </c>
      <c r="C54" s="92">
        <f>VLOOKUP(A54,'intereses desde el 71'!$A:$XFD,IF(A54&lt;Nuevo_Int_Ca,3,IF(Comercial_Ca="x",3,IF(Consumo_Ca="x",4,IF(Microcréd_Ca="x",5)))))</f>
        <v>0.2199</v>
      </c>
      <c r="D54" s="92">
        <f t="shared" si="3"/>
        <v>0.02403992265645094</v>
      </c>
      <c r="E54" s="122">
        <f t="shared" si="4"/>
        <v>0.02403992265645094</v>
      </c>
      <c r="F54" s="70"/>
      <c r="G54" s="117">
        <f t="shared" si="5"/>
        <v>2000000</v>
      </c>
      <c r="H54" s="6">
        <f t="shared" si="13"/>
        <v>30</v>
      </c>
      <c r="I54" s="29">
        <f t="shared" si="1"/>
        <v>48079.84531290188</v>
      </c>
      <c r="J54" s="70"/>
      <c r="K54" s="140"/>
      <c r="L54" s="110">
        <f t="shared" si="11"/>
        <v>164685.99307797934</v>
      </c>
      <c r="M54" s="110">
        <f t="shared" si="12"/>
        <v>2164685.993077978</v>
      </c>
    </row>
    <row r="55" spans="1:13" ht="12.75">
      <c r="A55" s="93">
        <f t="shared" si="8"/>
        <v>42736</v>
      </c>
      <c r="B55" s="93">
        <f t="shared" si="14"/>
        <v>42766</v>
      </c>
      <c r="C55" s="92">
        <f>VLOOKUP(A55,'intereses desde el 71'!$A:$XFD,IF(A55&lt;Nuevo_Int_Ca,3,IF(Comercial_Ca="x",3,IF(Consumo_Ca="x",4,IF(Microcréd_Ca="x",5)))))</f>
        <v>0.2234</v>
      </c>
      <c r="D55" s="92">
        <f t="shared" si="3"/>
        <v>0.024376207843189057</v>
      </c>
      <c r="E55" s="122">
        <f t="shared" si="4"/>
        <v>0.024376207843189057</v>
      </c>
      <c r="F55" s="70"/>
      <c r="G55" s="117">
        <f t="shared" si="5"/>
        <v>2000000</v>
      </c>
      <c r="H55" s="6">
        <f t="shared" si="13"/>
        <v>30</v>
      </c>
      <c r="I55" s="29">
        <f t="shared" si="1"/>
        <v>48752.41568637812</v>
      </c>
      <c r="J55" s="70"/>
      <c r="K55" s="140"/>
      <c r="L55" s="110">
        <f t="shared" si="11"/>
        <v>213438.40876435745</v>
      </c>
      <c r="M55" s="110">
        <f t="shared" si="12"/>
        <v>2213438.4087643563</v>
      </c>
    </row>
    <row r="56" spans="1:13" ht="12.75">
      <c r="A56" s="93">
        <f t="shared" si="8"/>
        <v>42767</v>
      </c>
      <c r="B56" s="93">
        <f t="shared" si="14"/>
        <v>42794</v>
      </c>
      <c r="C56" s="92">
        <f>VLOOKUP(A56,'intereses desde el 71'!$A:$XFD,IF(A56&lt;Nuevo_Int_Ca,3,IF(Comercial_Ca="x",3,IF(Consumo_Ca="x",4,IF(Microcréd_Ca="x",5)))))</f>
        <v>0.2234</v>
      </c>
      <c r="D56" s="92">
        <f t="shared" si="3"/>
        <v>0.024376207843189057</v>
      </c>
      <c r="E56" s="122">
        <f t="shared" si="4"/>
        <v>0.024376207843189057</v>
      </c>
      <c r="F56" s="70"/>
      <c r="G56" s="117">
        <f t="shared" si="5"/>
        <v>2000000</v>
      </c>
      <c r="H56" s="6">
        <f t="shared" si="13"/>
        <v>30</v>
      </c>
      <c r="I56" s="29">
        <f t="shared" si="1"/>
        <v>48752.41568637812</v>
      </c>
      <c r="J56" s="70"/>
      <c r="K56" s="140"/>
      <c r="L56" s="110">
        <f t="shared" si="11"/>
        <v>262190.8244507356</v>
      </c>
      <c r="M56" s="110">
        <f t="shared" si="12"/>
        <v>2262190.8244507345</v>
      </c>
    </row>
    <row r="57" spans="1:17" ht="12.75">
      <c r="A57" s="93">
        <f t="shared" si="8"/>
        <v>42795</v>
      </c>
      <c r="B57" s="93">
        <f t="shared" si="14"/>
        <v>42825</v>
      </c>
      <c r="C57" s="92">
        <v>0.1937</v>
      </c>
      <c r="D57" s="92">
        <f t="shared" si="3"/>
        <v>0.021483218662772696</v>
      </c>
      <c r="E57" s="122">
        <f t="shared" si="4"/>
        <v>0.021483218662772696</v>
      </c>
      <c r="F57" s="70"/>
      <c r="G57" s="117">
        <f t="shared" si="5"/>
        <v>2000000</v>
      </c>
      <c r="H57" s="6">
        <f t="shared" si="13"/>
        <v>30</v>
      </c>
      <c r="I57" s="29">
        <f t="shared" si="1"/>
        <v>42966.43732554539</v>
      </c>
      <c r="J57" s="70">
        <v>102785</v>
      </c>
      <c r="K57" s="140"/>
      <c r="L57" s="110">
        <f t="shared" si="11"/>
        <v>202372.261776281</v>
      </c>
      <c r="M57" s="110">
        <f t="shared" si="12"/>
        <v>2202372.26177628</v>
      </c>
      <c r="Q57" s="194"/>
    </row>
    <row r="58" spans="1:13" ht="12.75">
      <c r="A58" s="93">
        <f t="shared" si="8"/>
        <v>42826</v>
      </c>
      <c r="B58" s="93">
        <f t="shared" si="14"/>
        <v>42855</v>
      </c>
      <c r="C58" s="92">
        <v>0.1932</v>
      </c>
      <c r="D58" s="92">
        <f t="shared" si="3"/>
        <v>0.02143373610682331</v>
      </c>
      <c r="E58" s="122">
        <f t="shared" si="4"/>
        <v>0.02143373610682331</v>
      </c>
      <c r="F58" s="70"/>
      <c r="G58" s="117">
        <f t="shared" si="5"/>
        <v>2000000</v>
      </c>
      <c r="H58" s="6">
        <f t="shared" si="13"/>
        <v>30</v>
      </c>
      <c r="I58" s="29">
        <f t="shared" si="1"/>
        <v>42867.472213646615</v>
      </c>
      <c r="J58" s="70">
        <v>39174</v>
      </c>
      <c r="K58" s="140"/>
      <c r="L58" s="110">
        <f t="shared" si="11"/>
        <v>206065.73398992763</v>
      </c>
      <c r="M58" s="110">
        <f t="shared" si="12"/>
        <v>2206065.7339899265</v>
      </c>
    </row>
    <row r="59" spans="1:13" ht="12.75">
      <c r="A59" s="93">
        <f t="shared" si="8"/>
        <v>42856</v>
      </c>
      <c r="B59" s="93">
        <f t="shared" si="14"/>
        <v>42886</v>
      </c>
      <c r="C59" s="92">
        <v>0.1934</v>
      </c>
      <c r="D59" s="92">
        <f t="shared" si="3"/>
        <v>0.021453532293473465</v>
      </c>
      <c r="E59" s="122">
        <f t="shared" si="4"/>
        <v>0.021453532293473465</v>
      </c>
      <c r="F59" s="70"/>
      <c r="G59" s="117">
        <f t="shared" si="5"/>
        <v>2000000</v>
      </c>
      <c r="H59" s="6">
        <f t="shared" si="13"/>
        <v>30</v>
      </c>
      <c r="I59" s="29">
        <f t="shared" si="1"/>
        <v>42907.06458694693</v>
      </c>
      <c r="J59" s="70">
        <v>102785</v>
      </c>
      <c r="K59" s="140"/>
      <c r="L59" s="110">
        <f t="shared" si="11"/>
        <v>146187.79857687454</v>
      </c>
      <c r="M59" s="110">
        <f t="shared" si="12"/>
        <v>2146187.7985768733</v>
      </c>
    </row>
    <row r="60" spans="1:13" ht="12.75">
      <c r="A60" s="93">
        <f t="shared" si="8"/>
        <v>42887</v>
      </c>
      <c r="B60" s="93">
        <f t="shared" si="14"/>
        <v>42916</v>
      </c>
      <c r="C60" s="92">
        <f>VLOOKUP(A60,'intereses desde el 71'!$A:$XFD,IF(A60&lt;Nuevo_Int_Ca,3,IF(Comercial_Ca="x",3,IF(Consumo_Ca="x",4,IF(Microcréd_Ca="x",5)))))</f>
        <v>0.2233</v>
      </c>
      <c r="D60" s="92">
        <f t="shared" si="3"/>
        <v>0.02436661653016814</v>
      </c>
      <c r="E60" s="122">
        <f t="shared" si="4"/>
        <v>0.02436661653016814</v>
      </c>
      <c r="F60" s="70"/>
      <c r="G60" s="117">
        <f t="shared" si="5"/>
        <v>2000000</v>
      </c>
      <c r="H60" s="6">
        <f t="shared" si="13"/>
        <v>30</v>
      </c>
      <c r="I60" s="29">
        <f t="shared" si="1"/>
        <v>48733.23306033628</v>
      </c>
      <c r="J60" s="70">
        <v>102785</v>
      </c>
      <c r="K60" s="140"/>
      <c r="L60" s="110">
        <f t="shared" si="6"/>
        <v>92136.0316372108</v>
      </c>
      <c r="M60" s="110">
        <f aca="true" t="shared" si="15" ref="M60:M113">SUM(M59,F60,I60)-J60</f>
        <v>2092136.0316372095</v>
      </c>
    </row>
    <row r="61" spans="1:13" ht="12.75">
      <c r="A61" s="93">
        <f t="shared" si="8"/>
        <v>42917</v>
      </c>
      <c r="B61" s="93">
        <f t="shared" si="14"/>
        <v>42947</v>
      </c>
      <c r="C61" s="92">
        <f>VLOOKUP(A61,'intereses desde el 71'!$A:$XFD,IF(A61&lt;Nuevo_Int_Ca,3,IF(Comercial_Ca="x",3,IF(Consumo_Ca="x",4,IF(Microcréd_Ca="x",5)))))</f>
        <v>0.2198</v>
      </c>
      <c r="D61" s="92">
        <f t="shared" si="3"/>
        <v>0.024030296637850723</v>
      </c>
      <c r="E61" s="122">
        <f t="shared" si="4"/>
        <v>0.024030296637850723</v>
      </c>
      <c r="F61" s="70"/>
      <c r="G61" s="117">
        <f t="shared" si="5"/>
        <v>2000000</v>
      </c>
      <c r="H61" s="6">
        <f t="shared" si="13"/>
        <v>30</v>
      </c>
      <c r="I61" s="29">
        <f t="shared" si="1"/>
        <v>48060.593275701445</v>
      </c>
      <c r="J61" s="70">
        <v>116958</v>
      </c>
      <c r="K61" s="140"/>
      <c r="L61" s="110">
        <f t="shared" si="6"/>
        <v>23238.62491291226</v>
      </c>
      <c r="M61" s="110">
        <f t="shared" si="15"/>
        <v>2023238.624912911</v>
      </c>
    </row>
    <row r="62" spans="1:13" ht="12.75">
      <c r="A62" s="93">
        <f t="shared" si="8"/>
        <v>42948</v>
      </c>
      <c r="B62" s="93">
        <f t="shared" si="14"/>
        <v>42978</v>
      </c>
      <c r="C62" s="92">
        <f>VLOOKUP(A62,'intereses desde el 71'!$A:$XFD,IF(A62&lt;Nuevo_Int_Ca,3,IF(Comercial_Ca="x",3,IF(Consumo_Ca="x",4,IF(Microcréd_Ca="x",5)))))</f>
        <v>0.2198</v>
      </c>
      <c r="D62" s="92">
        <f t="shared" si="3"/>
        <v>0.024030296637850723</v>
      </c>
      <c r="E62" s="122">
        <f t="shared" si="4"/>
        <v>0.024030296637850723</v>
      </c>
      <c r="F62" s="70"/>
      <c r="G62" s="117">
        <f t="shared" si="5"/>
        <v>2000000</v>
      </c>
      <c r="H62" s="6">
        <f t="shared" si="13"/>
        <v>30</v>
      </c>
      <c r="I62" s="29">
        <f t="shared" si="1"/>
        <v>48060.593275701445</v>
      </c>
      <c r="J62" s="70">
        <v>121152</v>
      </c>
      <c r="K62" s="140"/>
      <c r="L62" s="110">
        <f t="shared" si="6"/>
        <v>-49852.78181138629</v>
      </c>
      <c r="M62" s="110">
        <f t="shared" si="15"/>
        <v>1950147.2181886125</v>
      </c>
    </row>
    <row r="63" spans="1:13" ht="12.75">
      <c r="A63" s="93">
        <f t="shared" si="8"/>
        <v>42979</v>
      </c>
      <c r="B63" s="93">
        <f t="shared" si="14"/>
        <v>43008</v>
      </c>
      <c r="C63" s="92">
        <f>VLOOKUP(A63,'intereses desde el 71'!$A:$XFD,IF(A63&lt;Nuevo_Int_Ca,3,IF(Comercial_Ca="x",3,IF(Consumo_Ca="x",4,IF(Microcréd_Ca="x",5)))))</f>
        <v>0.2148</v>
      </c>
      <c r="D63" s="92">
        <f t="shared" si="3"/>
        <v>0.02354772201212363</v>
      </c>
      <c r="E63" s="122">
        <f t="shared" si="4"/>
        <v>0.02354772201212363</v>
      </c>
      <c r="F63" s="70"/>
      <c r="G63" s="117">
        <f t="shared" si="5"/>
        <v>1950147.2181886125</v>
      </c>
      <c r="H63" s="6">
        <f t="shared" si="13"/>
        <v>30</v>
      </c>
      <c r="I63" s="29">
        <f t="shared" si="1"/>
        <v>45921.524576621654</v>
      </c>
      <c r="J63" s="70">
        <v>116958</v>
      </c>
      <c r="K63" s="140"/>
      <c r="L63" s="110">
        <f t="shared" si="6"/>
        <v>-71036.47542337835</v>
      </c>
      <c r="M63" s="110">
        <f t="shared" si="15"/>
        <v>1879110.742765234</v>
      </c>
    </row>
    <row r="64" spans="1:13" ht="12.75">
      <c r="A64" s="93">
        <f t="shared" si="8"/>
        <v>43009</v>
      </c>
      <c r="B64" s="93">
        <f t="shared" si="14"/>
        <v>43039</v>
      </c>
      <c r="C64" s="92">
        <f>VLOOKUP(A64,'intereses desde el 71'!$A:$XFD,IF(A64&lt;Nuevo_Int_Ca,3,IF(Comercial_Ca="x",3,IF(Consumo_Ca="x",4,IF(Microcréd_Ca="x",5)))))</f>
        <v>0.2115</v>
      </c>
      <c r="D64" s="92">
        <f t="shared" si="3"/>
        <v>0.023227846316473233</v>
      </c>
      <c r="E64" s="122">
        <f t="shared" si="4"/>
        <v>0.023227846316473233</v>
      </c>
      <c r="F64" s="70"/>
      <c r="G64" s="117">
        <f t="shared" si="5"/>
        <v>1879110.742765234</v>
      </c>
      <c r="H64" s="6">
        <f t="shared" si="13"/>
        <v>30</v>
      </c>
      <c r="I64" s="29">
        <f t="shared" si="1"/>
        <v>43647.69554458472</v>
      </c>
      <c r="J64" s="70">
        <v>116958</v>
      </c>
      <c r="K64" s="140"/>
      <c r="L64" s="110">
        <f t="shared" si="6"/>
        <v>-73310.30445541529</v>
      </c>
      <c r="M64" s="110">
        <f t="shared" si="15"/>
        <v>1805800.4383098187</v>
      </c>
    </row>
    <row r="65" spans="1:13" ht="12.75">
      <c r="A65" s="93">
        <f t="shared" si="8"/>
        <v>43040</v>
      </c>
      <c r="B65" s="93">
        <f t="shared" si="14"/>
        <v>43069</v>
      </c>
      <c r="C65" s="92">
        <f>VLOOKUP(A65,'intereses desde el 71'!$A:$XFD,IF(A65&lt;Nuevo_Int_Ca,3,IF(Comercial_Ca="x",3,IF(Consumo_Ca="x",4,IF(Microcréd_Ca="x",5)))))</f>
        <v>0.2096</v>
      </c>
      <c r="D65" s="92">
        <f t="shared" si="3"/>
        <v>0.023043175271197036</v>
      </c>
      <c r="E65" s="122">
        <f t="shared" si="4"/>
        <v>0.023043175271197036</v>
      </c>
      <c r="F65" s="70"/>
      <c r="G65" s="117">
        <f t="shared" si="5"/>
        <v>1805800.4383098187</v>
      </c>
      <c r="H65" s="6">
        <f t="shared" si="13"/>
        <v>30</v>
      </c>
      <c r="I65" s="29">
        <f t="shared" si="1"/>
        <v>41611.37600477759</v>
      </c>
      <c r="J65" s="70">
        <f>116958+100375</f>
        <v>217333</v>
      </c>
      <c r="K65" s="140"/>
      <c r="L65" s="110">
        <f t="shared" si="6"/>
        <v>-175721.6239952224</v>
      </c>
      <c r="M65" s="110">
        <f t="shared" si="15"/>
        <v>1630078.8143145964</v>
      </c>
    </row>
    <row r="66" spans="1:13" ht="12.75">
      <c r="A66" s="93">
        <f t="shared" si="8"/>
        <v>43070</v>
      </c>
      <c r="B66" s="93">
        <f t="shared" si="14"/>
        <v>43100</v>
      </c>
      <c r="C66" s="92">
        <v>0.1937</v>
      </c>
      <c r="D66" s="92">
        <f t="shared" si="3"/>
        <v>0.021483218662772696</v>
      </c>
      <c r="E66" s="122">
        <f t="shared" si="4"/>
        <v>0.021483218662772696</v>
      </c>
      <c r="F66" s="70"/>
      <c r="G66" s="117">
        <f t="shared" si="5"/>
        <v>1630078.8143145964</v>
      </c>
      <c r="H66" s="6">
        <f t="shared" si="13"/>
        <v>30</v>
      </c>
      <c r="I66" s="29">
        <f t="shared" si="1"/>
        <v>35019.339605473724</v>
      </c>
      <c r="J66" s="70"/>
      <c r="K66" s="140"/>
      <c r="L66" s="110">
        <f t="shared" si="6"/>
        <v>35019.339605473724</v>
      </c>
      <c r="M66" s="110">
        <f t="shared" si="15"/>
        <v>1665098.15392007</v>
      </c>
    </row>
    <row r="67" spans="1:13" ht="12.75">
      <c r="A67" s="93">
        <f t="shared" si="8"/>
        <v>43101</v>
      </c>
      <c r="B67" s="93">
        <f t="shared" si="14"/>
        <v>43131</v>
      </c>
      <c r="C67" s="92">
        <v>0.1932</v>
      </c>
      <c r="D67" s="92">
        <f t="shared" si="3"/>
        <v>0.02143373610682331</v>
      </c>
      <c r="E67" s="122">
        <f t="shared" si="4"/>
        <v>0.02143373610682331</v>
      </c>
      <c r="F67" s="70"/>
      <c r="G67" s="117">
        <f t="shared" si="5"/>
        <v>1630078.8143145964</v>
      </c>
      <c r="H67" s="6">
        <f t="shared" si="13"/>
        <v>30</v>
      </c>
      <c r="I67" s="29">
        <f t="shared" si="1"/>
        <v>34938.679139342494</v>
      </c>
      <c r="J67" s="70">
        <v>150124</v>
      </c>
      <c r="K67" s="140"/>
      <c r="L67" s="110">
        <f t="shared" si="6"/>
        <v>-80165.98125518378</v>
      </c>
      <c r="M67" s="110">
        <f>SUM(M66,F67,I67)-J67</f>
        <v>1549912.8330594124</v>
      </c>
    </row>
    <row r="68" spans="1:13" ht="12.75">
      <c r="A68" s="93">
        <f t="shared" si="8"/>
        <v>43132</v>
      </c>
      <c r="B68" s="93">
        <f t="shared" si="14"/>
        <v>43159</v>
      </c>
      <c r="C68" s="92">
        <f>VLOOKUP(A68,'intereses desde el 71'!$A:$XFD,IF(A68&lt;Nuevo_Int_Ca,3,IF(Comercial_Ca="x",3,IF(Consumo_Ca="x",4,IF(Microcréd_Ca="x",5)))))</f>
        <v>0.2101</v>
      </c>
      <c r="D68" s="92">
        <f t="shared" si="3"/>
        <v>0.023091808474569486</v>
      </c>
      <c r="E68" s="122">
        <f t="shared" si="4"/>
        <v>0.023091808474569486</v>
      </c>
      <c r="F68" s="70"/>
      <c r="G68" s="117">
        <f t="shared" si="5"/>
        <v>1549912.8330594124</v>
      </c>
      <c r="H68" s="6">
        <f t="shared" si="13"/>
        <v>30</v>
      </c>
      <c r="I68" s="29">
        <f t="shared" si="1"/>
        <v>35790.29029328534</v>
      </c>
      <c r="J68" s="70">
        <v>108253</v>
      </c>
      <c r="K68" s="140"/>
      <c r="L68" s="110">
        <f t="shared" si="6"/>
        <v>-72462.70970671467</v>
      </c>
      <c r="M68" s="110">
        <f t="shared" si="15"/>
        <v>1477450.1233526978</v>
      </c>
    </row>
    <row r="69" spans="1:13" ht="12.75">
      <c r="A69" s="93">
        <f t="shared" si="8"/>
        <v>43160</v>
      </c>
      <c r="B69" s="93">
        <f t="shared" si="14"/>
        <v>43190</v>
      </c>
      <c r="C69" s="92">
        <f>VLOOKUP(A69,'intereses desde el 71'!$A:$XFD,IF(A69&lt;Nuevo_Int_Ca,3,IF(Comercial_Ca="x",3,IF(Consumo_Ca="x",4,IF(Microcréd_Ca="x",5)))))</f>
        <v>0.2068</v>
      </c>
      <c r="D69" s="92">
        <f t="shared" si="3"/>
        <v>0.022770358330055807</v>
      </c>
      <c r="E69" s="122">
        <f t="shared" si="4"/>
        <v>0.022770358330055807</v>
      </c>
      <c r="F69" s="70"/>
      <c r="G69" s="117">
        <f t="shared" si="5"/>
        <v>1477450.1233526978</v>
      </c>
      <c r="H69" s="6">
        <f t="shared" si="13"/>
        <v>30</v>
      </c>
      <c r="I69" s="29">
        <f t="shared" si="1"/>
        <v>33642.068723526085</v>
      </c>
      <c r="J69" s="70">
        <v>108253</v>
      </c>
      <c r="K69" s="140"/>
      <c r="L69" s="110">
        <f t="shared" si="6"/>
        <v>-74610.93127647392</v>
      </c>
      <c r="M69" s="110">
        <f t="shared" si="15"/>
        <v>1402839.192076224</v>
      </c>
    </row>
    <row r="70" spans="1:13" ht="12.75">
      <c r="A70" s="93">
        <f t="shared" si="8"/>
        <v>43191</v>
      </c>
      <c r="B70" s="93">
        <f t="shared" si="14"/>
        <v>43220</v>
      </c>
      <c r="C70" s="92">
        <f>VLOOKUP(A70,'intereses desde el 71'!$A:$XFD,IF(A70&lt;Nuevo_Int_Ca,3,IF(Comercial_Ca="x",3,IF(Consumo_Ca="x",4,IF(Microcréd_Ca="x",5)))))</f>
        <v>0.2048</v>
      </c>
      <c r="D70" s="92">
        <f t="shared" si="3"/>
        <v>0.02257499783437167</v>
      </c>
      <c r="E70" s="122">
        <f t="shared" si="4"/>
        <v>0.02257499783437167</v>
      </c>
      <c r="F70" s="70"/>
      <c r="G70" s="117">
        <f t="shared" si="5"/>
        <v>1402839.192076224</v>
      </c>
      <c r="H70" s="6">
        <f t="shared" si="13"/>
        <v>30</v>
      </c>
      <c r="I70" s="29">
        <f t="shared" si="1"/>
        <v>31669.091723092453</v>
      </c>
      <c r="J70" s="70">
        <v>121716</v>
      </c>
      <c r="K70" s="140"/>
      <c r="L70" s="110">
        <f t="shared" si="6"/>
        <v>-90046.90827690755</v>
      </c>
      <c r="M70" s="110">
        <f t="shared" si="15"/>
        <v>1312792.2837993163</v>
      </c>
    </row>
    <row r="71" spans="1:13" ht="12.75">
      <c r="A71" s="93">
        <f t="shared" si="8"/>
        <v>43221</v>
      </c>
      <c r="B71" s="93">
        <f t="shared" si="14"/>
        <v>43251</v>
      </c>
      <c r="C71" s="92">
        <f>VLOOKUP(A71,'intereses desde el 71'!$A:$XFD,IF(A71&lt;Nuevo_Int_Ca,3,IF(Comercial_Ca="x",3,IF(Consumo_Ca="x",4,IF(Microcréd_Ca="x",5)))))</f>
        <v>0.2044</v>
      </c>
      <c r="D71" s="92">
        <f t="shared" si="3"/>
        <v>0.022535876422826506</v>
      </c>
      <c r="E71" s="122">
        <f t="shared" si="4"/>
        <v>0.022535876422826506</v>
      </c>
      <c r="F71" s="70"/>
      <c r="G71" s="117">
        <f t="shared" si="5"/>
        <v>1312792.2837993163</v>
      </c>
      <c r="H71" s="6">
        <f t="shared" si="13"/>
        <v>30</v>
      </c>
      <c r="I71" s="29">
        <f t="shared" si="1"/>
        <v>29584.924676541574</v>
      </c>
      <c r="J71" s="70">
        <v>121716</v>
      </c>
      <c r="K71" s="140"/>
      <c r="L71" s="110">
        <f t="shared" si="6"/>
        <v>-92131.07532345843</v>
      </c>
      <c r="M71" s="110">
        <f t="shared" si="15"/>
        <v>1220661.2084758577</v>
      </c>
    </row>
    <row r="72" spans="1:13" ht="12.75">
      <c r="A72" s="93">
        <f t="shared" si="8"/>
        <v>43252</v>
      </c>
      <c r="B72" s="93">
        <f t="shared" si="14"/>
        <v>43281</v>
      </c>
      <c r="C72" s="92">
        <f>VLOOKUP(A72,'intereses desde el 71'!$A:$XFD,IF(A72&lt;Nuevo_Int_Ca,3,IF(Comercial_Ca="x",3,IF(Consumo_Ca="x",4,IF(Microcréd_Ca="x",5)))))</f>
        <v>0.2048</v>
      </c>
      <c r="D72" s="92">
        <f t="shared" si="3"/>
        <v>0.02257499783437167</v>
      </c>
      <c r="E72" s="122">
        <f t="shared" si="4"/>
        <v>0.02257499783437167</v>
      </c>
      <c r="F72" s="70"/>
      <c r="G72" s="117">
        <f t="shared" si="5"/>
        <v>1220661.2084758577</v>
      </c>
      <c r="H72" s="6">
        <f t="shared" si="13"/>
        <v>30</v>
      </c>
      <c r="I72" s="29">
        <f t="shared" si="1"/>
        <v>27556.42413784399</v>
      </c>
      <c r="J72" s="70">
        <v>121716</v>
      </c>
      <c r="K72" s="140"/>
      <c r="L72" s="110">
        <f t="shared" si="6"/>
        <v>-94159.57586215601</v>
      </c>
      <c r="M72" s="110">
        <f t="shared" si="15"/>
        <v>1126501.6326137017</v>
      </c>
    </row>
    <row r="73" spans="1:13" ht="12.75">
      <c r="A73" s="93">
        <f t="shared" si="8"/>
        <v>43282</v>
      </c>
      <c r="B73" s="93">
        <f t="shared" si="14"/>
        <v>43312</v>
      </c>
      <c r="C73" s="92">
        <f>VLOOKUP(A73,'intereses desde el 71'!$A:$XFD,IF(A73&lt;Nuevo_Int_Ca,3,IF(Comercial_Ca="x",3,IF(Consumo_Ca="x",4,IF(Microcréd_Ca="x",5)))))</f>
        <v>0.2003</v>
      </c>
      <c r="D73" s="92">
        <f t="shared" si="3"/>
        <v>0.02213392969916317</v>
      </c>
      <c r="E73" s="122">
        <f t="shared" si="4"/>
        <v>0.02213392969916317</v>
      </c>
      <c r="F73" s="70"/>
      <c r="G73" s="117">
        <f t="shared" si="5"/>
        <v>1126501.6326137017</v>
      </c>
      <c r="H73" s="6">
        <f t="shared" si="13"/>
        <v>30</v>
      </c>
      <c r="I73" s="29">
        <f t="shared" si="1"/>
        <v>24933.90794226421</v>
      </c>
      <c r="J73" s="70"/>
      <c r="K73" s="140"/>
      <c r="L73" s="110">
        <f t="shared" si="6"/>
        <v>24933.90794226421</v>
      </c>
      <c r="M73" s="110">
        <f t="shared" si="15"/>
        <v>1151435.5405559659</v>
      </c>
    </row>
    <row r="74" spans="1:13" ht="12.75">
      <c r="A74" s="93">
        <f t="shared" si="8"/>
        <v>43313</v>
      </c>
      <c r="B74" s="93">
        <f t="shared" si="14"/>
        <v>43343</v>
      </c>
      <c r="C74" s="92">
        <v>0.1937</v>
      </c>
      <c r="D74" s="92">
        <f t="shared" si="3"/>
        <v>0.021483218662772696</v>
      </c>
      <c r="E74" s="122">
        <f t="shared" si="4"/>
        <v>0.021483218662772696</v>
      </c>
      <c r="F74" s="70"/>
      <c r="G74" s="117">
        <f t="shared" si="5"/>
        <v>1126501.6326137017</v>
      </c>
      <c r="H74" s="6">
        <f t="shared" si="13"/>
        <v>30</v>
      </c>
      <c r="I74" s="29">
        <f t="shared" si="1"/>
        <v>24200.88089741059</v>
      </c>
      <c r="J74" s="70">
        <f>121716+78293</f>
        <v>200009</v>
      </c>
      <c r="K74" s="140"/>
      <c r="L74" s="110">
        <f t="shared" si="6"/>
        <v>-150874.2111603252</v>
      </c>
      <c r="M74" s="110">
        <f t="shared" si="15"/>
        <v>975627.4214533765</v>
      </c>
    </row>
    <row r="75" spans="1:13" ht="12.75">
      <c r="A75" s="93">
        <f t="shared" si="8"/>
        <v>43344</v>
      </c>
      <c r="B75" s="93">
        <f t="shared" si="14"/>
        <v>43373</v>
      </c>
      <c r="C75" s="92">
        <v>0.1932</v>
      </c>
      <c r="D75" s="92">
        <f t="shared" si="3"/>
        <v>0.02143373610682331</v>
      </c>
      <c r="E75" s="122">
        <f t="shared" si="4"/>
        <v>0.02143373610682331</v>
      </c>
      <c r="F75" s="70"/>
      <c r="G75" s="117">
        <f t="shared" si="5"/>
        <v>975627.4214533765</v>
      </c>
      <c r="H75" s="6">
        <f t="shared" si="13"/>
        <v>30</v>
      </c>
      <c r="I75" s="29">
        <f t="shared" si="1"/>
        <v>20911.34069001216</v>
      </c>
      <c r="J75" s="70">
        <v>165139</v>
      </c>
      <c r="K75" s="140"/>
      <c r="L75" s="110">
        <f t="shared" si="6"/>
        <v>-144227.65930998785</v>
      </c>
      <c r="M75" s="110">
        <f t="shared" si="15"/>
        <v>831399.7621433887</v>
      </c>
    </row>
    <row r="76" spans="1:13" ht="12.75">
      <c r="A76" s="93">
        <f t="shared" si="8"/>
        <v>43374</v>
      </c>
      <c r="B76" s="93">
        <f t="shared" si="14"/>
        <v>43404</v>
      </c>
      <c r="C76" s="92">
        <v>0.1934</v>
      </c>
      <c r="D76" s="92">
        <f t="shared" si="3"/>
        <v>0.021453532293473465</v>
      </c>
      <c r="E76" s="122">
        <f t="shared" si="4"/>
        <v>0.021453532293473465</v>
      </c>
      <c r="F76" s="70"/>
      <c r="G76" s="117">
        <f t="shared" si="5"/>
        <v>831399.7621433887</v>
      </c>
      <c r="H76" s="6">
        <f t="shared" si="13"/>
        <v>30</v>
      </c>
      <c r="I76" s="29">
        <f t="shared" si="1"/>
        <v>17836.461645929347</v>
      </c>
      <c r="J76" s="70">
        <v>121716</v>
      </c>
      <c r="K76" s="140"/>
      <c r="L76" s="110">
        <f t="shared" si="6"/>
        <v>-103879.53835407065</v>
      </c>
      <c r="M76" s="110">
        <f t="shared" si="15"/>
        <v>727520.2237893181</v>
      </c>
    </row>
    <row r="77" spans="1:13" ht="12.75">
      <c r="A77" s="93">
        <f t="shared" si="8"/>
        <v>43405</v>
      </c>
      <c r="B77" s="93">
        <f t="shared" si="14"/>
        <v>43434</v>
      </c>
      <c r="C77" s="92">
        <v>0.197</v>
      </c>
      <c r="D77" s="92">
        <f t="shared" si="3"/>
        <v>0.021809143962671307</v>
      </c>
      <c r="E77" s="122">
        <f t="shared" si="4"/>
        <v>0.021809143962671307</v>
      </c>
      <c r="F77" s="70"/>
      <c r="G77" s="117">
        <f t="shared" si="5"/>
        <v>727520.2237893181</v>
      </c>
      <c r="H77" s="6">
        <f t="shared" si="13"/>
        <v>30</v>
      </c>
      <c r="I77" s="29">
        <f t="shared" si="1"/>
        <v>15866.593296376084</v>
      </c>
      <c r="J77" s="70">
        <v>86978</v>
      </c>
      <c r="K77" s="140"/>
      <c r="L77" s="110">
        <f t="shared" si="6"/>
        <v>-71111.40670362391</v>
      </c>
      <c r="M77" s="110">
        <f t="shared" si="15"/>
        <v>656408.8170856942</v>
      </c>
    </row>
    <row r="78" spans="1:13" ht="12.75">
      <c r="A78" s="93">
        <f t="shared" si="8"/>
        <v>43435</v>
      </c>
      <c r="B78" s="93">
        <f t="shared" si="14"/>
        <v>43465</v>
      </c>
      <c r="C78" s="92">
        <v>0.193</v>
      </c>
      <c r="D78" s="92">
        <f t="shared" si="3"/>
        <v>0.02141393569895156</v>
      </c>
      <c r="E78" s="122">
        <f t="shared" si="4"/>
        <v>0.02141393569895156</v>
      </c>
      <c r="F78" s="70"/>
      <c r="G78" s="117">
        <f t="shared" si="5"/>
        <v>656408.8170856942</v>
      </c>
      <c r="H78" s="6">
        <f t="shared" si="13"/>
        <v>30</v>
      </c>
      <c r="I78" s="29">
        <f t="shared" si="1"/>
        <v>14056.29620129791</v>
      </c>
      <c r="J78" s="70">
        <v>106169</v>
      </c>
      <c r="K78" s="140"/>
      <c r="L78" s="110">
        <f t="shared" si="6"/>
        <v>-92112.70379870209</v>
      </c>
      <c r="M78" s="110">
        <f t="shared" si="15"/>
        <v>564296.1132869921</v>
      </c>
    </row>
    <row r="79" spans="1:13" ht="12.75">
      <c r="A79" s="93">
        <f t="shared" si="8"/>
        <v>43466</v>
      </c>
      <c r="B79" s="93">
        <f t="shared" si="14"/>
        <v>43496</v>
      </c>
      <c r="C79" s="92">
        <f>VLOOKUP(A79,'intereses desde el 71'!$A:$XFD,IF(A79&lt;Nuevo_Int_Ca,3,IF(Comercial_Ca="x",3,IF(Consumo_Ca="x",4,IF(Microcréd_Ca="x",5)))))</f>
        <v>0.1916</v>
      </c>
      <c r="D79" s="92">
        <f t="shared" si="3"/>
        <v>0.02127521449135017</v>
      </c>
      <c r="E79" s="122">
        <f t="shared" si="4"/>
        <v>0.02127521449135017</v>
      </c>
      <c r="F79" s="70"/>
      <c r="G79" s="117">
        <f t="shared" si="5"/>
        <v>564296.1132869921</v>
      </c>
      <c r="H79" s="6">
        <f t="shared" si="13"/>
        <v>30</v>
      </c>
      <c r="I79" s="29">
        <f t="shared" si="1"/>
        <v>12005.52084681599</v>
      </c>
      <c r="J79" s="70">
        <v>121716</v>
      </c>
      <c r="K79" s="140"/>
      <c r="L79" s="110">
        <f t="shared" si="6"/>
        <v>-109710.47915318402</v>
      </c>
      <c r="M79" s="110">
        <f t="shared" si="15"/>
        <v>454585.6341338081</v>
      </c>
    </row>
    <row r="80" spans="1:13" ht="12.75">
      <c r="A80" s="93">
        <f t="shared" si="8"/>
        <v>43497</v>
      </c>
      <c r="B80" s="93">
        <f t="shared" si="14"/>
        <v>43524</v>
      </c>
      <c r="C80" s="92">
        <f>VLOOKUP(A80,'intereses desde el 71'!$A:$XFD,IF(A80&lt;Nuevo_Int_Ca,3,IF(Comercial_Ca="x",3,IF(Consumo_Ca="x",4,IF(Microcréd_Ca="x",5)))))</f>
        <v>0.197</v>
      </c>
      <c r="D80" s="92">
        <f t="shared" si="3"/>
        <v>0.021809143962671307</v>
      </c>
      <c r="E80" s="122">
        <f t="shared" si="4"/>
        <v>0.021809143962671307</v>
      </c>
      <c r="F80" s="70"/>
      <c r="G80" s="117">
        <f t="shared" si="5"/>
        <v>454585.6341338081</v>
      </c>
      <c r="H80" s="6">
        <f t="shared" si="13"/>
        <v>30</v>
      </c>
      <c r="I80" s="29">
        <f t="shared" si="1"/>
        <v>9914.123538186448</v>
      </c>
      <c r="J80" s="70">
        <v>77603</v>
      </c>
      <c r="K80" s="140"/>
      <c r="L80" s="110">
        <f t="shared" si="6"/>
        <v>-67688.87646181355</v>
      </c>
      <c r="M80" s="110">
        <f t="shared" si="15"/>
        <v>386896.7576719945</v>
      </c>
    </row>
    <row r="81" spans="1:13" ht="12.75">
      <c r="A81" s="93">
        <f t="shared" si="8"/>
        <v>43525</v>
      </c>
      <c r="B81" s="93">
        <f t="shared" si="14"/>
        <v>43555</v>
      </c>
      <c r="C81" s="92">
        <f>VLOOKUP(A81,'intereses desde el 71'!$A:$XFD,IF(A81&lt;Nuevo_Int_Ca,3,IF(Comercial_Ca="x",3,IF(Consumo_Ca="x",4,IF(Microcréd_Ca="x",5)))))</f>
        <v>0.193</v>
      </c>
      <c r="D81" s="92">
        <f t="shared" si="3"/>
        <v>0.02141393569895156</v>
      </c>
      <c r="E81" s="122">
        <f t="shared" si="4"/>
        <v>0.02141393569895156</v>
      </c>
      <c r="F81" s="70"/>
      <c r="G81" s="117">
        <f t="shared" si="5"/>
        <v>386896.7576719945</v>
      </c>
      <c r="H81" s="6">
        <f t="shared" si="13"/>
        <v>30</v>
      </c>
      <c r="I81" s="29">
        <f t="shared" si="1"/>
        <v>8284.982290920934</v>
      </c>
      <c r="J81" s="70">
        <v>112342</v>
      </c>
      <c r="K81" s="140"/>
      <c r="L81" s="110">
        <f t="shared" si="6"/>
        <v>-104057.01770907907</v>
      </c>
      <c r="M81" s="110">
        <f t="shared" si="15"/>
        <v>282839.7399629154</v>
      </c>
    </row>
    <row r="82" spans="1:13" ht="12.75">
      <c r="A82" s="93">
        <f t="shared" si="8"/>
        <v>43556</v>
      </c>
      <c r="B82" s="93">
        <f t="shared" si="14"/>
        <v>43585</v>
      </c>
      <c r="C82" s="92">
        <f>VLOOKUP(A82,'intereses desde el 71'!$A:$XFD,IF(A82&lt;Nuevo_Int_Ca,3,IF(Comercial_Ca="x",3,IF(Consumo_Ca="x",4,IF(Microcréd_Ca="x",5)))))</f>
        <v>0.1932</v>
      </c>
      <c r="D82" s="92">
        <f t="shared" si="3"/>
        <v>0.02143373610682331</v>
      </c>
      <c r="E82" s="122">
        <f t="shared" si="4"/>
        <v>0.02143373610682331</v>
      </c>
      <c r="F82" s="70"/>
      <c r="G82" s="117">
        <f t="shared" si="5"/>
        <v>282839.7399629154</v>
      </c>
      <c r="H82" s="6">
        <f aca="true" t="shared" si="16" ref="H82:H113">IF(Colm_Des&gt;Mora_Fin,"",IF(A82="","",DAYS360(A82,B82+(1))))</f>
        <v>30</v>
      </c>
      <c r="I82" s="29">
        <f t="shared" si="1"/>
        <v>6062.312346887656</v>
      </c>
      <c r="J82" s="70">
        <v>112342</v>
      </c>
      <c r="K82" s="140"/>
      <c r="L82" s="110">
        <f t="shared" si="6"/>
        <v>-106279.68765311234</v>
      </c>
      <c r="M82" s="110">
        <f t="shared" si="15"/>
        <v>176560.05230980308</v>
      </c>
    </row>
    <row r="83" spans="1:13" ht="12.75">
      <c r="A83" s="93">
        <f t="shared" si="8"/>
        <v>43586</v>
      </c>
      <c r="B83" s="93">
        <f t="shared" si="14"/>
        <v>43616</v>
      </c>
      <c r="C83" s="92">
        <f>VLOOKUP(A83,'intereses desde el 71'!$A:$XFD,IF(A83&lt;Nuevo_Int_Ca,3,IF(Comercial_Ca="x",3,IF(Consumo_Ca="x",4,IF(Microcréd_Ca="x",5)))))</f>
        <v>0.1934</v>
      </c>
      <c r="D83" s="92">
        <f t="shared" si="3"/>
        <v>0.021453532293473465</v>
      </c>
      <c r="E83" s="122">
        <f t="shared" si="4"/>
        <v>0.021453532293473465</v>
      </c>
      <c r="F83" s="70"/>
      <c r="G83" s="117">
        <f t="shared" si="5"/>
        <v>176560.05230980308</v>
      </c>
      <c r="H83" s="6">
        <f t="shared" si="16"/>
        <v>30</v>
      </c>
      <c r="I83" s="29">
        <f aca="true" t="shared" si="17" ref="I83:I146">IF(Colm_Des&gt;Mora_Fin,"0",IF(A83="","0",IF(G83&lt;0,"0",((G83*E83)/30)*H83)))</f>
        <v>3787.836783965725</v>
      </c>
      <c r="J83" s="70">
        <v>25496</v>
      </c>
      <c r="K83" s="140"/>
      <c r="L83" s="110">
        <f t="shared" si="6"/>
        <v>-21708.163216034274</v>
      </c>
      <c r="M83" s="110">
        <f t="shared" si="15"/>
        <v>154851.8890937688</v>
      </c>
    </row>
    <row r="84" spans="1:13" ht="12.75">
      <c r="A84" s="93">
        <f t="shared" si="8"/>
        <v>43617</v>
      </c>
      <c r="B84" s="93">
        <f aca="true" t="shared" si="18" ref="B84:B115">IF(AND(A84&gt;=Primar_Ca,A84&lt;=Catmar_Ca),DATE(YEAR(A84),MONTH(A84),14),IF(AND(A84&gt;=Nuevo_Int_Ca,A84&lt;=Sgn_Int_Ca),DATE(YEAR(A84),MONTH(A84),4),IF(A84=DATE(YEAR(Mora_Fin),MONTH(Mora_Fin),DAY(1)),DATE(YEAR(Mora_Fin),MONTH(Mora_Fin),DAY(Mora_Fin)),DATE(YEAR(A84),MONTH(A84)+1,))))</f>
        <v>43646</v>
      </c>
      <c r="C84" s="92">
        <f>VLOOKUP(A84,'intereses desde el 71'!$A:$XFD,IF(A84&lt;Nuevo_Int_Ca,3,IF(Comercial_Ca="x",3,IF(Consumo_Ca="x",4,IF(Microcréd_Ca="x",5)))))</f>
        <v>0.193</v>
      </c>
      <c r="D84" s="92">
        <f aca="true" t="shared" si="19" ref="D84:D147">IF(A84="","",(POWER((1+(C84*D$18)),(1/12)))-1)</f>
        <v>0.02141393569895156</v>
      </c>
      <c r="E84" s="122">
        <f aca="true" t="shared" si="20" ref="E84:E147">IF(A84="","",IF(B84&lt;=G$7,MIN(D$9,D84),MIN(D$12,D84)))</f>
        <v>0.02141393569895156</v>
      </c>
      <c r="F84" s="70"/>
      <c r="G84" s="117">
        <f aca="true" t="shared" si="21" ref="G84:G147">MIN(G83,M83)+F84</f>
        <v>154851.8890937688</v>
      </c>
      <c r="H84" s="6">
        <f t="shared" si="16"/>
        <v>30</v>
      </c>
      <c r="I84" s="29">
        <f t="shared" si="17"/>
        <v>3315.9883959151434</v>
      </c>
      <c r="J84" s="70">
        <v>25496</v>
      </c>
      <c r="K84" s="140"/>
      <c r="L84" s="110">
        <f aca="true" t="shared" si="22" ref="L84:L147">IF(L83&lt;0,I84-J84,L83+I84-J84)</f>
        <v>-22180.011604084855</v>
      </c>
      <c r="M84" s="110">
        <f t="shared" si="15"/>
        <v>132671.87748968395</v>
      </c>
    </row>
    <row r="85" spans="1:13" ht="12.75">
      <c r="A85" s="93">
        <f aca="true" t="shared" si="23" ref="A85:A148">DATE(YEAR(B84),MONTH(B84),DAY(B84)+1)</f>
        <v>43647</v>
      </c>
      <c r="B85" s="93">
        <f t="shared" si="18"/>
        <v>43677</v>
      </c>
      <c r="C85" s="92">
        <f>VLOOKUP(A85,'intereses desde el 71'!$A:$XFD,IF(A85&lt;Nuevo_Int_Ca,3,IF(Comercial_Ca="x",3,IF(Consumo_Ca="x",4,IF(Microcréd_Ca="x",5)))))</f>
        <v>0.1928</v>
      </c>
      <c r="D85" s="92">
        <f t="shared" si="19"/>
        <v>0.021394131067975497</v>
      </c>
      <c r="E85" s="122">
        <f t="shared" si="20"/>
        <v>0.021394131067975497</v>
      </c>
      <c r="F85" s="70"/>
      <c r="G85" s="117">
        <f t="shared" si="21"/>
        <v>132671.87748968395</v>
      </c>
      <c r="H85" s="6">
        <f t="shared" si="16"/>
        <v>30</v>
      </c>
      <c r="I85" s="29">
        <f t="shared" si="17"/>
        <v>2838.3995360486865</v>
      </c>
      <c r="J85" s="70">
        <v>124850</v>
      </c>
      <c r="K85" s="140"/>
      <c r="L85" s="110">
        <f t="shared" si="22"/>
        <v>-122011.60046395131</v>
      </c>
      <c r="M85" s="110">
        <f t="shared" si="15"/>
        <v>10660.27702573262</v>
      </c>
    </row>
    <row r="86" spans="1:13" ht="12.75">
      <c r="A86" s="93">
        <f t="shared" si="23"/>
        <v>43678</v>
      </c>
      <c r="B86" s="93">
        <f t="shared" si="18"/>
        <v>43708</v>
      </c>
      <c r="C86" s="92">
        <f>VLOOKUP(A86,'intereses desde el 71'!$A:$XFD,IF(A86&lt;Nuevo_Int_Ca,3,IF(Comercial_Ca="x",3,IF(Consumo_Ca="x",4,IF(Microcréd_Ca="x",5)))))</f>
        <v>0.1932</v>
      </c>
      <c r="D86" s="92">
        <f t="shared" si="19"/>
        <v>0.02143373610682331</v>
      </c>
      <c r="E86" s="122">
        <f t="shared" si="20"/>
        <v>0.02143373610682331</v>
      </c>
      <c r="F86" s="70"/>
      <c r="G86" s="117">
        <f t="shared" si="21"/>
        <v>10660.27702573262</v>
      </c>
      <c r="H86" s="6">
        <f t="shared" si="16"/>
        <v>30</v>
      </c>
      <c r="I86" s="29">
        <f t="shared" si="17"/>
        <v>228.48956459518422</v>
      </c>
      <c r="J86" s="70">
        <v>56658</v>
      </c>
      <c r="K86" s="140"/>
      <c r="L86" s="110">
        <f t="shared" si="22"/>
        <v>-56429.510435404816</v>
      </c>
      <c r="M86" s="110">
        <f t="shared" si="15"/>
        <v>-45769.2334096722</v>
      </c>
    </row>
    <row r="87" spans="1:13" ht="12.75">
      <c r="A87" s="93">
        <f t="shared" si="23"/>
        <v>43709</v>
      </c>
      <c r="B87" s="93">
        <f t="shared" si="18"/>
        <v>43738</v>
      </c>
      <c r="C87" s="92">
        <f>VLOOKUP(A87,'intereses desde el 71'!$A:$XFD,IF(A87&lt;Nuevo_Int_Ca,3,IF(Comercial_Ca="x",3,IF(Consumo_Ca="x",4,IF(Microcréd_Ca="x",5)))))</f>
        <v>0.1932</v>
      </c>
      <c r="D87" s="92">
        <f t="shared" si="19"/>
        <v>0.02143373610682331</v>
      </c>
      <c r="E87" s="122">
        <f t="shared" si="20"/>
        <v>0.02143373610682331</v>
      </c>
      <c r="F87" s="70"/>
      <c r="G87" s="117">
        <f t="shared" si="21"/>
        <v>-45769.2334096722</v>
      </c>
      <c r="H87" s="6">
        <f t="shared" si="16"/>
        <v>30</v>
      </c>
      <c r="I87" s="29" t="str">
        <f t="shared" si="17"/>
        <v>0</v>
      </c>
      <c r="J87" s="70">
        <v>56658</v>
      </c>
      <c r="K87" s="140"/>
      <c r="L87" s="110">
        <f t="shared" si="22"/>
        <v>-56658</v>
      </c>
      <c r="M87" s="110">
        <f t="shared" si="15"/>
        <v>-102427.23340967219</v>
      </c>
    </row>
    <row r="88" spans="1:13" ht="12.75">
      <c r="A88" s="93">
        <f t="shared" si="23"/>
        <v>43739</v>
      </c>
      <c r="B88" s="93">
        <f t="shared" si="18"/>
        <v>43769</v>
      </c>
      <c r="C88" s="92">
        <f>VLOOKUP(A88,'intereses desde el 71'!$A:$XFD,IF(A88&lt;Nuevo_Int_Ca,3,IF(Comercial_Ca="x",3,IF(Consumo_Ca="x",4,IF(Microcréd_Ca="x",5)))))</f>
        <v>0.191</v>
      </c>
      <c r="D88" s="92">
        <f t="shared" si="19"/>
        <v>0.02121569903825793</v>
      </c>
      <c r="E88" s="122">
        <f t="shared" si="20"/>
        <v>0.02121569903825793</v>
      </c>
      <c r="F88" s="70"/>
      <c r="G88" s="117">
        <f t="shared" si="21"/>
        <v>-102427.23340967219</v>
      </c>
      <c r="H88" s="6">
        <f t="shared" si="16"/>
        <v>30</v>
      </c>
      <c r="I88" s="29" t="str">
        <f t="shared" si="17"/>
        <v>0</v>
      </c>
      <c r="J88" s="70">
        <v>124850</v>
      </c>
      <c r="K88" s="140"/>
      <c r="L88" s="110">
        <f t="shared" si="22"/>
        <v>-124850</v>
      </c>
      <c r="M88" s="110">
        <f t="shared" si="15"/>
        <v>-227277.2334096722</v>
      </c>
    </row>
    <row r="89" spans="1:13" ht="12.75">
      <c r="A89" s="93">
        <f t="shared" si="23"/>
        <v>43770</v>
      </c>
      <c r="B89" s="93">
        <f t="shared" si="18"/>
        <v>43799</v>
      </c>
      <c r="C89" s="92">
        <f>VLOOKUP(A89,'intereses desde el 71'!$A:$XFD,IF(A89&lt;Nuevo_Int_Ca,3,IF(Comercial_Ca="x",3,IF(Consumo_Ca="x",4,IF(Microcréd_Ca="x",5)))))</f>
        <v>0.1903</v>
      </c>
      <c r="D89" s="92">
        <f t="shared" si="19"/>
        <v>0.021146216086632474</v>
      </c>
      <c r="E89" s="122">
        <f t="shared" si="20"/>
        <v>0.021146216086632474</v>
      </c>
      <c r="F89" s="70"/>
      <c r="G89" s="117">
        <f t="shared" si="21"/>
        <v>-227277.2334096722</v>
      </c>
      <c r="H89" s="6">
        <f t="shared" si="16"/>
        <v>30</v>
      </c>
      <c r="I89" s="29" t="str">
        <f t="shared" si="17"/>
        <v>0</v>
      </c>
      <c r="J89" s="70">
        <v>52247</v>
      </c>
      <c r="K89" s="140"/>
      <c r="L89" s="110">
        <f t="shared" si="22"/>
        <v>-52247</v>
      </c>
      <c r="M89" s="110">
        <f t="shared" si="15"/>
        <v>-279524.23340967216</v>
      </c>
    </row>
    <row r="90" spans="1:13" ht="12.75">
      <c r="A90" s="93">
        <f t="shared" si="23"/>
        <v>43800</v>
      </c>
      <c r="B90" s="93">
        <f t="shared" si="18"/>
        <v>43830</v>
      </c>
      <c r="C90" s="92">
        <f>VLOOKUP(A90,'intereses desde el 71'!$A:$XFD,IF(A90&lt;Nuevo_Int_Ca,3,IF(Comercial_Ca="x",3,IF(Consumo_Ca="x",4,IF(Microcréd_Ca="x",5)))))</f>
        <v>0.1891</v>
      </c>
      <c r="D90" s="92">
        <f t="shared" si="19"/>
        <v>0.02102698132372427</v>
      </c>
      <c r="E90" s="122">
        <f t="shared" si="20"/>
        <v>0.02102698132372427</v>
      </c>
      <c r="F90" s="70"/>
      <c r="G90" s="117">
        <f t="shared" si="21"/>
        <v>-279524.23340967216</v>
      </c>
      <c r="H90" s="6">
        <f t="shared" si="16"/>
        <v>30</v>
      </c>
      <c r="I90" s="29" t="str">
        <f t="shared" si="17"/>
        <v>0</v>
      </c>
      <c r="J90" s="70">
        <v>124850</v>
      </c>
      <c r="K90" s="140"/>
      <c r="L90" s="110">
        <f t="shared" si="22"/>
        <v>-124850</v>
      </c>
      <c r="M90" s="110">
        <f t="shared" si="15"/>
        <v>-404374.23340967216</v>
      </c>
    </row>
    <row r="91" spans="1:13" ht="12.75">
      <c r="A91" s="93">
        <f t="shared" si="23"/>
        <v>43831</v>
      </c>
      <c r="B91" s="93">
        <f t="shared" si="18"/>
        <v>43861</v>
      </c>
      <c r="C91" s="92">
        <f>VLOOKUP(A91,'intereses desde el 71'!$A:$XFD,IF(A91&lt;Nuevo_Int_Ca,3,IF(Comercial_Ca="x",3,IF(Consumo_Ca="x",4,IF(Microcréd_Ca="x",5)))))</f>
        <v>0.1877</v>
      </c>
      <c r="D91" s="92">
        <f t="shared" si="19"/>
        <v>0.020887680238021122</v>
      </c>
      <c r="E91" s="122">
        <f t="shared" si="20"/>
        <v>0.020887680238021122</v>
      </c>
      <c r="F91" s="70"/>
      <c r="G91" s="117">
        <f t="shared" si="21"/>
        <v>-404374.23340967216</v>
      </c>
      <c r="H91" s="6">
        <f t="shared" si="16"/>
        <v>30</v>
      </c>
      <c r="I91" s="29" t="str">
        <f t="shared" si="17"/>
        <v>0</v>
      </c>
      <c r="J91" s="70">
        <v>124850</v>
      </c>
      <c r="K91" s="140"/>
      <c r="L91" s="110">
        <f t="shared" si="22"/>
        <v>-124850</v>
      </c>
      <c r="M91" s="110">
        <f t="shared" si="15"/>
        <v>-529224.2334096722</v>
      </c>
    </row>
    <row r="92" spans="1:13" ht="12.75">
      <c r="A92" s="93">
        <f t="shared" si="23"/>
        <v>43862</v>
      </c>
      <c r="B92" s="93">
        <f t="shared" si="18"/>
        <v>43890</v>
      </c>
      <c r="C92" s="92">
        <f>VLOOKUP(A92,'intereses desde el 71'!$A:$XFD,IF(A92&lt;Nuevo_Int_Ca,3,IF(Comercial_Ca="x",3,IF(Consumo_Ca="x",4,IF(Microcréd_Ca="x",5)))))</f>
        <v>0.1906</v>
      </c>
      <c r="D92" s="92">
        <f t="shared" si="19"/>
        <v>0.02117600086268867</v>
      </c>
      <c r="E92" s="122">
        <f t="shared" si="20"/>
        <v>0.02117600086268867</v>
      </c>
      <c r="F92" s="70"/>
      <c r="G92" s="117">
        <f t="shared" si="21"/>
        <v>-529224.2334096722</v>
      </c>
      <c r="H92" s="6">
        <f t="shared" si="16"/>
        <v>30</v>
      </c>
      <c r="I92" s="29" t="str">
        <f t="shared" si="17"/>
        <v>0</v>
      </c>
      <c r="J92" s="70">
        <v>114913</v>
      </c>
      <c r="K92" s="140"/>
      <c r="L92" s="110">
        <f t="shared" si="22"/>
        <v>-114913</v>
      </c>
      <c r="M92" s="110">
        <f t="shared" si="15"/>
        <v>-644137.2334096722</v>
      </c>
    </row>
    <row r="93" spans="1:13" ht="12.75">
      <c r="A93" s="93">
        <f t="shared" si="23"/>
        <v>43891</v>
      </c>
      <c r="B93" s="93">
        <f t="shared" si="18"/>
        <v>43921</v>
      </c>
      <c r="C93" s="92">
        <f>VLOOKUP(A93,'intereses desde el 71'!$A:$XFD,IF(A93&lt;Nuevo_Int_Ca,3,IF(Comercial_Ca="x",3,IF(Consumo_Ca="x",4,IF(Microcréd_Ca="x",5)))))</f>
        <v>0.1895</v>
      </c>
      <c r="D93" s="92">
        <f t="shared" si="19"/>
        <v>0.021066743264638976</v>
      </c>
      <c r="E93" s="122">
        <f t="shared" si="20"/>
        <v>0.021066743264638976</v>
      </c>
      <c r="F93" s="70"/>
      <c r="G93" s="117">
        <f t="shared" si="21"/>
        <v>-644137.2334096722</v>
      </c>
      <c r="H93" s="6">
        <f t="shared" si="16"/>
        <v>30</v>
      </c>
      <c r="I93" s="29" t="str">
        <f t="shared" si="17"/>
        <v>0</v>
      </c>
      <c r="J93" s="70">
        <v>114913</v>
      </c>
      <c r="K93" s="140"/>
      <c r="L93" s="110">
        <f t="shared" si="22"/>
        <v>-114913</v>
      </c>
      <c r="M93" s="110">
        <f t="shared" si="15"/>
        <v>-759050.2334096722</v>
      </c>
    </row>
    <row r="94" spans="1:13" ht="12.75">
      <c r="A94" s="93">
        <f t="shared" si="23"/>
        <v>43922</v>
      </c>
      <c r="B94" s="93">
        <f t="shared" si="18"/>
        <v>43942</v>
      </c>
      <c r="C94" s="92">
        <f>VLOOKUP(A94,'intereses desde el 71'!$A:$XFD,IF(A94&lt;Nuevo_Int_Ca,3,IF(Comercial_Ca="x",3,IF(Consumo_Ca="x",4,IF(Microcréd_Ca="x",5)))))</f>
        <v>0.1895</v>
      </c>
      <c r="D94" s="92">
        <f t="shared" si="19"/>
        <v>0.021066743264638976</v>
      </c>
      <c r="E94" s="122">
        <f t="shared" si="20"/>
        <v>0.021066743264638976</v>
      </c>
      <c r="F94" s="70"/>
      <c r="G94" s="117">
        <f t="shared" si="21"/>
        <v>-759050.2334096722</v>
      </c>
      <c r="H94" s="6">
        <f t="shared" si="16"/>
        <v>21</v>
      </c>
      <c r="I94" s="29" t="str">
        <f t="shared" si="17"/>
        <v>0</v>
      </c>
      <c r="J94" s="70"/>
      <c r="K94" s="140"/>
      <c r="L94" s="110">
        <f t="shared" si="22"/>
        <v>0</v>
      </c>
      <c r="M94" s="110">
        <f t="shared" si="15"/>
        <v>-759050.2334096722</v>
      </c>
    </row>
    <row r="95" spans="1:13" ht="12.75" hidden="1">
      <c r="A95" s="93">
        <f t="shared" si="23"/>
        <v>43943</v>
      </c>
      <c r="B95" s="93">
        <f t="shared" si="18"/>
        <v>43951</v>
      </c>
      <c r="C95" s="92">
        <f>VLOOKUP(A95,'intereses desde el 71'!$A:$XFD,IF(A95&lt;Nuevo_Int_Ca,3,IF(Comercial_Ca="x",3,IF(Consumo_Ca="x",4,IF(Microcréd_Ca="x",5)))))</f>
        <v>0.1895</v>
      </c>
      <c r="D95" s="92">
        <f t="shared" si="19"/>
        <v>0.021066743264638976</v>
      </c>
      <c r="E95" s="122">
        <f t="shared" si="20"/>
        <v>0.021066743264638976</v>
      </c>
      <c r="F95" s="70"/>
      <c r="G95" s="117">
        <f t="shared" si="21"/>
        <v>-759050.2334096722</v>
      </c>
      <c r="H95" s="6">
        <f t="shared" si="16"/>
      </c>
      <c r="I95" s="29" t="str">
        <f t="shared" si="17"/>
        <v>0</v>
      </c>
      <c r="J95" s="70"/>
      <c r="K95" s="140"/>
      <c r="L95" s="110">
        <f t="shared" si="22"/>
        <v>0</v>
      </c>
      <c r="M95" s="110">
        <f t="shared" si="15"/>
        <v>-759050.2334096722</v>
      </c>
    </row>
    <row r="96" spans="1:13" ht="12.75" hidden="1">
      <c r="A96" s="93">
        <f t="shared" si="23"/>
        <v>43952</v>
      </c>
      <c r="B96" s="93">
        <f t="shared" si="18"/>
        <v>43982</v>
      </c>
      <c r="C96" s="92">
        <f>VLOOKUP(A96,'intereses desde el 71'!$A:$XFD,IF(A96&lt;Nuevo_Int_Ca,3,IF(Comercial_Ca="x",3,IF(Consumo_Ca="x",4,IF(Microcréd_Ca="x",5)))))</f>
        <v>0.1895</v>
      </c>
      <c r="D96" s="92">
        <f t="shared" si="19"/>
        <v>0.021066743264638976</v>
      </c>
      <c r="E96" s="122">
        <f t="shared" si="20"/>
        <v>0.021066743264638976</v>
      </c>
      <c r="F96" s="70"/>
      <c r="G96" s="117">
        <f t="shared" si="21"/>
        <v>-759050.2334096722</v>
      </c>
      <c r="H96" s="6">
        <f t="shared" si="16"/>
      </c>
      <c r="I96" s="29" t="str">
        <f t="shared" si="17"/>
        <v>0</v>
      </c>
      <c r="J96" s="70"/>
      <c r="K96" s="140"/>
      <c r="L96" s="110">
        <f t="shared" si="22"/>
        <v>0</v>
      </c>
      <c r="M96" s="110">
        <f t="shared" si="15"/>
        <v>-759050.2334096722</v>
      </c>
    </row>
    <row r="97" spans="1:13" ht="12.75" hidden="1">
      <c r="A97" s="93">
        <f t="shared" si="23"/>
        <v>43983</v>
      </c>
      <c r="B97" s="93">
        <f t="shared" si="18"/>
        <v>44012</v>
      </c>
      <c r="C97" s="92">
        <f>VLOOKUP(A97,'intereses desde el 71'!$A:$XFD,IF(A97&lt;Nuevo_Int_Ca,3,IF(Comercial_Ca="x",3,IF(Consumo_Ca="x",4,IF(Microcréd_Ca="x",5)))))</f>
        <v>0.1895</v>
      </c>
      <c r="D97" s="92">
        <f t="shared" si="19"/>
        <v>0.021066743264638976</v>
      </c>
      <c r="E97" s="122">
        <f t="shared" si="20"/>
        <v>0.021066743264638976</v>
      </c>
      <c r="F97" s="70"/>
      <c r="G97" s="117">
        <f t="shared" si="21"/>
        <v>-759050.2334096722</v>
      </c>
      <c r="H97" s="6">
        <f t="shared" si="16"/>
      </c>
      <c r="I97" s="29" t="str">
        <f t="shared" si="17"/>
        <v>0</v>
      </c>
      <c r="J97" s="70"/>
      <c r="K97" s="140"/>
      <c r="L97" s="110">
        <f t="shared" si="22"/>
        <v>0</v>
      </c>
      <c r="M97" s="110">
        <f t="shared" si="15"/>
        <v>-759050.2334096722</v>
      </c>
    </row>
    <row r="98" spans="1:13" ht="12.75" hidden="1">
      <c r="A98" s="93">
        <f t="shared" si="23"/>
        <v>44013</v>
      </c>
      <c r="B98" s="93">
        <f t="shared" si="18"/>
        <v>44043</v>
      </c>
      <c r="C98" s="92">
        <f>VLOOKUP(A98,'intereses desde el 71'!$A:$XFD,IF(A98&lt;Nuevo_Int_Ca,3,IF(Comercial_Ca="x",3,IF(Consumo_Ca="x",4,IF(Microcréd_Ca="x",5)))))</f>
        <v>0.1895</v>
      </c>
      <c r="D98" s="92">
        <f t="shared" si="19"/>
        <v>0.021066743264638976</v>
      </c>
      <c r="E98" s="122">
        <f t="shared" si="20"/>
        <v>0.021066743264638976</v>
      </c>
      <c r="F98" s="70"/>
      <c r="G98" s="117">
        <f t="shared" si="21"/>
        <v>-759050.2334096722</v>
      </c>
      <c r="H98" s="6">
        <f t="shared" si="16"/>
      </c>
      <c r="I98" s="29" t="str">
        <f t="shared" si="17"/>
        <v>0</v>
      </c>
      <c r="J98" s="70"/>
      <c r="K98" s="140"/>
      <c r="L98" s="110">
        <f t="shared" si="22"/>
        <v>0</v>
      </c>
      <c r="M98" s="110">
        <f t="shared" si="15"/>
        <v>-759050.2334096722</v>
      </c>
    </row>
    <row r="99" spans="1:13" ht="12.75" hidden="1">
      <c r="A99" s="93">
        <f t="shared" si="23"/>
        <v>44044</v>
      </c>
      <c r="B99" s="93">
        <f t="shared" si="18"/>
        <v>44074</v>
      </c>
      <c r="C99" s="92">
        <f>VLOOKUP(A99,'intereses desde el 71'!$A:$XFD,IF(A99&lt;Nuevo_Int_Ca,3,IF(Comercial_Ca="x",3,IF(Consumo_Ca="x",4,IF(Microcréd_Ca="x",5)))))</f>
        <v>0.1895</v>
      </c>
      <c r="D99" s="92">
        <f t="shared" si="19"/>
        <v>0.021066743264638976</v>
      </c>
      <c r="E99" s="122">
        <f t="shared" si="20"/>
        <v>0.021066743264638976</v>
      </c>
      <c r="F99" s="70"/>
      <c r="G99" s="117">
        <f t="shared" si="21"/>
        <v>-759050.2334096722</v>
      </c>
      <c r="H99" s="6">
        <f t="shared" si="16"/>
      </c>
      <c r="I99" s="29" t="str">
        <f t="shared" si="17"/>
        <v>0</v>
      </c>
      <c r="J99" s="70"/>
      <c r="K99" s="140"/>
      <c r="L99" s="110">
        <f t="shared" si="22"/>
        <v>0</v>
      </c>
      <c r="M99" s="110">
        <f t="shared" si="15"/>
        <v>-759050.2334096722</v>
      </c>
    </row>
    <row r="100" spans="1:13" ht="12.75" hidden="1">
      <c r="A100" s="93">
        <f t="shared" si="23"/>
        <v>44075</v>
      </c>
      <c r="B100" s="93">
        <f t="shared" si="18"/>
        <v>44104</v>
      </c>
      <c r="C100" s="92">
        <f>VLOOKUP(A100,'intereses desde el 71'!$A:$XFD,IF(A100&lt;Nuevo_Int_Ca,3,IF(Comercial_Ca="x",3,IF(Consumo_Ca="x",4,IF(Microcréd_Ca="x",5)))))</f>
        <v>0.1895</v>
      </c>
      <c r="D100" s="92">
        <f t="shared" si="19"/>
        <v>0.021066743264638976</v>
      </c>
      <c r="E100" s="122">
        <f t="shared" si="20"/>
        <v>0.021066743264638976</v>
      </c>
      <c r="F100" s="70"/>
      <c r="G100" s="117">
        <f t="shared" si="21"/>
        <v>-759050.2334096722</v>
      </c>
      <c r="H100" s="6">
        <f t="shared" si="16"/>
      </c>
      <c r="I100" s="29" t="str">
        <f t="shared" si="17"/>
        <v>0</v>
      </c>
      <c r="J100" s="70"/>
      <c r="K100" s="140"/>
      <c r="L100" s="110">
        <f t="shared" si="22"/>
        <v>0</v>
      </c>
      <c r="M100" s="110">
        <f t="shared" si="15"/>
        <v>-759050.2334096722</v>
      </c>
    </row>
    <row r="101" spans="1:13" ht="12.75" hidden="1">
      <c r="A101" s="93">
        <f t="shared" si="23"/>
        <v>44105</v>
      </c>
      <c r="B101" s="93">
        <f t="shared" si="18"/>
        <v>44135</v>
      </c>
      <c r="C101" s="92">
        <f>VLOOKUP(A101,'intereses desde el 71'!$A:$XFD,IF(A101&lt;Nuevo_Int_Ca,3,IF(Comercial_Ca="x",3,IF(Consumo_Ca="x",4,IF(Microcréd_Ca="x",5)))))</f>
        <v>0.1895</v>
      </c>
      <c r="D101" s="92">
        <f t="shared" si="19"/>
        <v>0.021066743264638976</v>
      </c>
      <c r="E101" s="122">
        <f t="shared" si="20"/>
        <v>0.021066743264638976</v>
      </c>
      <c r="F101" s="70"/>
      <c r="G101" s="117">
        <f t="shared" si="21"/>
        <v>-759050.2334096722</v>
      </c>
      <c r="H101" s="6">
        <f t="shared" si="16"/>
      </c>
      <c r="I101" s="29" t="str">
        <f t="shared" si="17"/>
        <v>0</v>
      </c>
      <c r="J101" s="70"/>
      <c r="K101" s="140"/>
      <c r="L101" s="110">
        <f t="shared" si="22"/>
        <v>0</v>
      </c>
      <c r="M101" s="110">
        <f t="shared" si="15"/>
        <v>-759050.2334096722</v>
      </c>
    </row>
    <row r="102" spans="1:13" ht="12.75" hidden="1">
      <c r="A102" s="93">
        <f t="shared" si="23"/>
        <v>44136</v>
      </c>
      <c r="B102" s="93">
        <f t="shared" si="18"/>
        <v>44165</v>
      </c>
      <c r="C102" s="92">
        <f>VLOOKUP(A102,'intereses desde el 71'!$A:$XFD,IF(A102&lt;Nuevo_Int_Ca,3,IF(Comercial_Ca="x",3,IF(Consumo_Ca="x",4,IF(Microcréd_Ca="x",5)))))</f>
        <v>0.1895</v>
      </c>
      <c r="D102" s="92">
        <f t="shared" si="19"/>
        <v>0.021066743264638976</v>
      </c>
      <c r="E102" s="122">
        <f t="shared" si="20"/>
        <v>0.021066743264638976</v>
      </c>
      <c r="F102" s="70"/>
      <c r="G102" s="117">
        <f t="shared" si="21"/>
        <v>-759050.2334096722</v>
      </c>
      <c r="H102" s="6">
        <f t="shared" si="16"/>
      </c>
      <c r="I102" s="29" t="str">
        <f t="shared" si="17"/>
        <v>0</v>
      </c>
      <c r="J102" s="70"/>
      <c r="K102" s="140"/>
      <c r="L102" s="110">
        <f t="shared" si="22"/>
        <v>0</v>
      </c>
      <c r="M102" s="110">
        <f t="shared" si="15"/>
        <v>-759050.2334096722</v>
      </c>
    </row>
    <row r="103" spans="1:13" ht="12.75" hidden="1">
      <c r="A103" s="93">
        <f t="shared" si="23"/>
        <v>44166</v>
      </c>
      <c r="B103" s="93">
        <f t="shared" si="18"/>
        <v>44196</v>
      </c>
      <c r="C103" s="92">
        <f>VLOOKUP(A103,'intereses desde el 71'!$A:$XFD,IF(A103&lt;Nuevo_Int_Ca,3,IF(Comercial_Ca="x",3,IF(Consumo_Ca="x",4,IF(Microcréd_Ca="x",5)))))</f>
        <v>0.1895</v>
      </c>
      <c r="D103" s="92">
        <f t="shared" si="19"/>
        <v>0.021066743264638976</v>
      </c>
      <c r="E103" s="122">
        <f t="shared" si="20"/>
        <v>0.021066743264638976</v>
      </c>
      <c r="F103" s="70"/>
      <c r="G103" s="117">
        <f t="shared" si="21"/>
        <v>-759050.2334096722</v>
      </c>
      <c r="H103" s="6">
        <f t="shared" si="16"/>
      </c>
      <c r="I103" s="29" t="str">
        <f t="shared" si="17"/>
        <v>0</v>
      </c>
      <c r="J103" s="70"/>
      <c r="K103" s="140"/>
      <c r="L103" s="110">
        <f t="shared" si="22"/>
        <v>0</v>
      </c>
      <c r="M103" s="110">
        <f t="shared" si="15"/>
        <v>-759050.2334096722</v>
      </c>
    </row>
    <row r="104" spans="1:13" ht="12.75" hidden="1">
      <c r="A104" s="93">
        <f t="shared" si="23"/>
        <v>44197</v>
      </c>
      <c r="B104" s="93">
        <f t="shared" si="18"/>
        <v>44227</v>
      </c>
      <c r="C104" s="92">
        <f>VLOOKUP(A104,'intereses desde el 71'!$A:$XFD,IF(A104&lt;Nuevo_Int_Ca,3,IF(Comercial_Ca="x",3,IF(Consumo_Ca="x",4,IF(Microcréd_Ca="x",5)))))</f>
        <v>0.1895</v>
      </c>
      <c r="D104" s="92">
        <f t="shared" si="19"/>
        <v>0.021066743264638976</v>
      </c>
      <c r="E104" s="122">
        <f t="shared" si="20"/>
        <v>0.021066743264638976</v>
      </c>
      <c r="F104" s="70"/>
      <c r="G104" s="117">
        <f t="shared" si="21"/>
        <v>-759050.2334096722</v>
      </c>
      <c r="H104" s="6">
        <f t="shared" si="16"/>
      </c>
      <c r="I104" s="29" t="str">
        <f t="shared" si="17"/>
        <v>0</v>
      </c>
      <c r="J104" s="70"/>
      <c r="K104" s="140"/>
      <c r="L104" s="110">
        <f t="shared" si="22"/>
        <v>0</v>
      </c>
      <c r="M104" s="110">
        <f t="shared" si="15"/>
        <v>-759050.2334096722</v>
      </c>
    </row>
    <row r="105" spans="1:13" ht="12.75" hidden="1">
      <c r="A105" s="93">
        <f t="shared" si="23"/>
        <v>44228</v>
      </c>
      <c r="B105" s="93">
        <f t="shared" si="18"/>
        <v>44255</v>
      </c>
      <c r="C105" s="92">
        <f>VLOOKUP(A105,'intereses desde el 71'!$A:$XFD,IF(A105&lt;Nuevo_Int_Ca,3,IF(Comercial_Ca="x",3,IF(Consumo_Ca="x",4,IF(Microcréd_Ca="x",5)))))</f>
        <v>0.1895</v>
      </c>
      <c r="D105" s="92">
        <f t="shared" si="19"/>
        <v>0.021066743264638976</v>
      </c>
      <c r="E105" s="122">
        <f t="shared" si="20"/>
        <v>0.021066743264638976</v>
      </c>
      <c r="F105" s="70"/>
      <c r="G105" s="117">
        <f t="shared" si="21"/>
        <v>-759050.2334096722</v>
      </c>
      <c r="H105" s="6">
        <f t="shared" si="16"/>
      </c>
      <c r="I105" s="29" t="str">
        <f t="shared" si="17"/>
        <v>0</v>
      </c>
      <c r="J105" s="70"/>
      <c r="K105" s="140"/>
      <c r="L105" s="110">
        <f t="shared" si="22"/>
        <v>0</v>
      </c>
      <c r="M105" s="110">
        <f t="shared" si="15"/>
        <v>-759050.2334096722</v>
      </c>
    </row>
    <row r="106" spans="1:13" ht="12.75" hidden="1">
      <c r="A106" s="93">
        <f t="shared" si="23"/>
        <v>44256</v>
      </c>
      <c r="B106" s="93">
        <f t="shared" si="18"/>
        <v>44286</v>
      </c>
      <c r="C106" s="92">
        <f>VLOOKUP(A106,'intereses desde el 71'!$A:$XFD,IF(A106&lt;Nuevo_Int_Ca,3,IF(Comercial_Ca="x",3,IF(Consumo_Ca="x",4,IF(Microcréd_Ca="x",5)))))</f>
        <v>0.1895</v>
      </c>
      <c r="D106" s="92">
        <f t="shared" si="19"/>
        <v>0.021066743264638976</v>
      </c>
      <c r="E106" s="122">
        <f t="shared" si="20"/>
        <v>0.021066743264638976</v>
      </c>
      <c r="F106" s="70"/>
      <c r="G106" s="117">
        <f t="shared" si="21"/>
        <v>-759050.2334096722</v>
      </c>
      <c r="H106" s="6">
        <f t="shared" si="16"/>
      </c>
      <c r="I106" s="29" t="str">
        <f t="shared" si="17"/>
        <v>0</v>
      </c>
      <c r="J106" s="70"/>
      <c r="K106" s="140"/>
      <c r="L106" s="110">
        <f t="shared" si="22"/>
        <v>0</v>
      </c>
      <c r="M106" s="110">
        <f t="shared" si="15"/>
        <v>-759050.2334096722</v>
      </c>
    </row>
    <row r="107" spans="1:13" ht="12.75" hidden="1">
      <c r="A107" s="93">
        <f t="shared" si="23"/>
        <v>44287</v>
      </c>
      <c r="B107" s="93">
        <f t="shared" si="18"/>
        <v>44316</v>
      </c>
      <c r="C107" s="92">
        <f>VLOOKUP(A107,'intereses desde el 71'!$A:$XFD,IF(A107&lt;Nuevo_Int_Ca,3,IF(Comercial_Ca="x",3,IF(Consumo_Ca="x",4,IF(Microcréd_Ca="x",5)))))</f>
        <v>0.1895</v>
      </c>
      <c r="D107" s="92">
        <f t="shared" si="19"/>
        <v>0.021066743264638976</v>
      </c>
      <c r="E107" s="122">
        <f t="shared" si="20"/>
        <v>0.021066743264638976</v>
      </c>
      <c r="F107" s="70"/>
      <c r="G107" s="117">
        <f t="shared" si="21"/>
        <v>-759050.2334096722</v>
      </c>
      <c r="H107" s="6">
        <f t="shared" si="16"/>
      </c>
      <c r="I107" s="29" t="str">
        <f t="shared" si="17"/>
        <v>0</v>
      </c>
      <c r="J107" s="70"/>
      <c r="K107" s="140"/>
      <c r="L107" s="110">
        <f t="shared" si="22"/>
        <v>0</v>
      </c>
      <c r="M107" s="110">
        <f t="shared" si="15"/>
        <v>-759050.2334096722</v>
      </c>
    </row>
    <row r="108" spans="1:13" ht="12.75" hidden="1">
      <c r="A108" s="93">
        <f t="shared" si="23"/>
        <v>44317</v>
      </c>
      <c r="B108" s="93">
        <f t="shared" si="18"/>
        <v>44347</v>
      </c>
      <c r="C108" s="92">
        <f>VLOOKUP(A108,'intereses desde el 71'!$A:$XFD,IF(A108&lt;Nuevo_Int_Ca,3,IF(Comercial_Ca="x",3,IF(Consumo_Ca="x",4,IF(Microcréd_Ca="x",5)))))</f>
        <v>0.1895</v>
      </c>
      <c r="D108" s="92">
        <f t="shared" si="19"/>
        <v>0.021066743264638976</v>
      </c>
      <c r="E108" s="122">
        <f t="shared" si="20"/>
        <v>0.021066743264638976</v>
      </c>
      <c r="F108" s="70"/>
      <c r="G108" s="117">
        <f t="shared" si="21"/>
        <v>-759050.2334096722</v>
      </c>
      <c r="H108" s="6">
        <f t="shared" si="16"/>
      </c>
      <c r="I108" s="29" t="str">
        <f t="shared" si="17"/>
        <v>0</v>
      </c>
      <c r="J108" s="70"/>
      <c r="K108" s="140"/>
      <c r="L108" s="110">
        <f t="shared" si="22"/>
        <v>0</v>
      </c>
      <c r="M108" s="110">
        <f t="shared" si="15"/>
        <v>-759050.2334096722</v>
      </c>
    </row>
    <row r="109" spans="1:13" ht="14.25" customHeight="1" hidden="1">
      <c r="A109" s="93">
        <f t="shared" si="23"/>
        <v>44348</v>
      </c>
      <c r="B109" s="93">
        <f t="shared" si="18"/>
        <v>44377</v>
      </c>
      <c r="C109" s="92">
        <f>VLOOKUP(A109,'intereses desde el 71'!$A:$XFD,IF(A109&lt;Nuevo_Int_Ca,3,IF(Comercial_Ca="x",3,IF(Consumo_Ca="x",4,IF(Microcréd_Ca="x",5)))))</f>
        <v>0.1895</v>
      </c>
      <c r="D109" s="92">
        <f t="shared" si="19"/>
        <v>0.021066743264638976</v>
      </c>
      <c r="E109" s="122">
        <f t="shared" si="20"/>
        <v>0.021066743264638976</v>
      </c>
      <c r="F109" s="70"/>
      <c r="G109" s="117">
        <f t="shared" si="21"/>
        <v>-759050.2334096722</v>
      </c>
      <c r="H109" s="6">
        <f t="shared" si="16"/>
      </c>
      <c r="I109" s="29" t="str">
        <f t="shared" si="17"/>
        <v>0</v>
      </c>
      <c r="J109" s="70"/>
      <c r="K109" s="140"/>
      <c r="L109" s="110">
        <f t="shared" si="22"/>
        <v>0</v>
      </c>
      <c r="M109" s="110">
        <f t="shared" si="15"/>
        <v>-759050.2334096722</v>
      </c>
    </row>
    <row r="110" spans="1:13" ht="12.75" hidden="1">
      <c r="A110" s="93">
        <f t="shared" si="23"/>
        <v>44378</v>
      </c>
      <c r="B110" s="93">
        <f t="shared" si="18"/>
        <v>44408</v>
      </c>
      <c r="C110" s="92">
        <f>VLOOKUP(A110,'intereses desde el 71'!$A:$XFD,IF(A110&lt;Nuevo_Int_Ca,3,IF(Comercial_Ca="x",3,IF(Consumo_Ca="x",4,IF(Microcréd_Ca="x",5)))))</f>
        <v>0.1895</v>
      </c>
      <c r="D110" s="92">
        <f t="shared" si="19"/>
        <v>0.021066743264638976</v>
      </c>
      <c r="E110" s="122">
        <f t="shared" si="20"/>
        <v>0.021066743264638976</v>
      </c>
      <c r="F110" s="70"/>
      <c r="G110" s="117">
        <f t="shared" si="21"/>
        <v>-759050.2334096722</v>
      </c>
      <c r="H110" s="6">
        <f t="shared" si="16"/>
      </c>
      <c r="I110" s="29" t="str">
        <f t="shared" si="17"/>
        <v>0</v>
      </c>
      <c r="J110" s="70"/>
      <c r="K110" s="140"/>
      <c r="L110" s="110">
        <f t="shared" si="22"/>
        <v>0</v>
      </c>
      <c r="M110" s="110">
        <f t="shared" si="15"/>
        <v>-759050.2334096722</v>
      </c>
    </row>
    <row r="111" spans="1:13" ht="12.75" hidden="1">
      <c r="A111" s="93">
        <f t="shared" si="23"/>
        <v>44409</v>
      </c>
      <c r="B111" s="93">
        <f t="shared" si="18"/>
        <v>44439</v>
      </c>
      <c r="C111" s="92">
        <f>VLOOKUP(A111,'intereses desde el 71'!$A:$XFD,IF(A111&lt;Nuevo_Int_Ca,3,IF(Comercial_Ca="x",3,IF(Consumo_Ca="x",4,IF(Microcréd_Ca="x",5)))))</f>
        <v>0.1895</v>
      </c>
      <c r="D111" s="92">
        <f t="shared" si="19"/>
        <v>0.021066743264638976</v>
      </c>
      <c r="E111" s="122">
        <f t="shared" si="20"/>
        <v>0.021066743264638976</v>
      </c>
      <c r="F111" s="70"/>
      <c r="G111" s="117">
        <f t="shared" si="21"/>
        <v>-759050.2334096722</v>
      </c>
      <c r="H111" s="6">
        <f t="shared" si="16"/>
      </c>
      <c r="I111" s="29" t="str">
        <f t="shared" si="17"/>
        <v>0</v>
      </c>
      <c r="J111" s="70"/>
      <c r="K111" s="140"/>
      <c r="L111" s="110">
        <f t="shared" si="22"/>
        <v>0</v>
      </c>
      <c r="M111" s="110">
        <f t="shared" si="15"/>
        <v>-759050.2334096722</v>
      </c>
    </row>
    <row r="112" spans="1:13" ht="12.75" hidden="1">
      <c r="A112" s="93">
        <f t="shared" si="23"/>
        <v>44440</v>
      </c>
      <c r="B112" s="93">
        <f t="shared" si="18"/>
        <v>44469</v>
      </c>
      <c r="C112" s="92">
        <f>VLOOKUP(A112,'intereses desde el 71'!$A:$XFD,IF(A112&lt;Nuevo_Int_Ca,3,IF(Comercial_Ca="x",3,IF(Consumo_Ca="x",4,IF(Microcréd_Ca="x",5)))))</f>
        <v>0.1895</v>
      </c>
      <c r="D112" s="92">
        <f t="shared" si="19"/>
        <v>0.021066743264638976</v>
      </c>
      <c r="E112" s="122">
        <f t="shared" si="20"/>
        <v>0.021066743264638976</v>
      </c>
      <c r="F112" s="70"/>
      <c r="G112" s="117">
        <f t="shared" si="21"/>
        <v>-759050.2334096722</v>
      </c>
      <c r="H112" s="6">
        <f t="shared" si="16"/>
      </c>
      <c r="I112" s="29" t="str">
        <f t="shared" si="17"/>
        <v>0</v>
      </c>
      <c r="J112" s="70"/>
      <c r="K112" s="140"/>
      <c r="L112" s="110">
        <f t="shared" si="22"/>
        <v>0</v>
      </c>
      <c r="M112" s="110">
        <f t="shared" si="15"/>
        <v>-759050.2334096722</v>
      </c>
    </row>
    <row r="113" spans="1:13" ht="12.75" hidden="1">
      <c r="A113" s="93">
        <f t="shared" si="23"/>
        <v>44470</v>
      </c>
      <c r="B113" s="93">
        <f t="shared" si="18"/>
        <v>44500</v>
      </c>
      <c r="C113" s="92">
        <f>VLOOKUP(A113,'intereses desde el 71'!$A:$XFD,IF(A113&lt;Nuevo_Int_Ca,3,IF(Comercial_Ca="x",3,IF(Consumo_Ca="x",4,IF(Microcréd_Ca="x",5)))))</f>
        <v>0.1895</v>
      </c>
      <c r="D113" s="92">
        <f t="shared" si="19"/>
        <v>0.021066743264638976</v>
      </c>
      <c r="E113" s="122">
        <f t="shared" si="20"/>
        <v>0.021066743264638976</v>
      </c>
      <c r="F113" s="70"/>
      <c r="G113" s="117">
        <f t="shared" si="21"/>
        <v>-759050.2334096722</v>
      </c>
      <c r="H113" s="6">
        <f t="shared" si="16"/>
      </c>
      <c r="I113" s="29" t="str">
        <f t="shared" si="17"/>
        <v>0</v>
      </c>
      <c r="J113" s="70"/>
      <c r="K113" s="140"/>
      <c r="L113" s="110">
        <f t="shared" si="22"/>
        <v>0</v>
      </c>
      <c r="M113" s="110">
        <f t="shared" si="15"/>
        <v>-759050.2334096722</v>
      </c>
    </row>
    <row r="114" spans="1:13" ht="12.75" hidden="1">
      <c r="A114" s="93">
        <f t="shared" si="23"/>
        <v>44501</v>
      </c>
      <c r="B114" s="93">
        <f t="shared" si="18"/>
        <v>44530</v>
      </c>
      <c r="C114" s="92">
        <f>VLOOKUP(A114,'intereses desde el 71'!$A:$XFD,IF(A114&lt;Nuevo_Int_Ca,3,IF(Comercial_Ca="x",3,IF(Consumo_Ca="x",4,IF(Microcréd_Ca="x",5)))))</f>
        <v>0.1895</v>
      </c>
      <c r="D114" s="92">
        <f t="shared" si="19"/>
        <v>0.021066743264638976</v>
      </c>
      <c r="E114" s="122">
        <f t="shared" si="20"/>
        <v>0.021066743264638976</v>
      </c>
      <c r="F114" s="70"/>
      <c r="G114" s="117">
        <f t="shared" si="21"/>
        <v>-759050.2334096722</v>
      </c>
      <c r="H114" s="6">
        <f aca="true" t="shared" si="24" ref="H114:H145">IF(Colm_Des&gt;Mora_Fin,"",IF(A114="","",DAYS360(A114,B114+(1))))</f>
      </c>
      <c r="I114" s="29" t="str">
        <f t="shared" si="17"/>
        <v>0</v>
      </c>
      <c r="J114" s="70"/>
      <c r="K114" s="140"/>
      <c r="L114" s="110">
        <f t="shared" si="22"/>
        <v>0</v>
      </c>
      <c r="M114" s="110">
        <f aca="true" t="shared" si="25" ref="M114:M174">SUM(M113,F114,I114)-J114</f>
        <v>-759050.2334096722</v>
      </c>
    </row>
    <row r="115" spans="1:13" ht="12.75" hidden="1">
      <c r="A115" s="93">
        <f t="shared" si="23"/>
        <v>44531</v>
      </c>
      <c r="B115" s="93">
        <f t="shared" si="18"/>
        <v>44561</v>
      </c>
      <c r="C115" s="92">
        <f>VLOOKUP(A115,'intereses desde el 71'!$A:$XFD,IF(A115&lt;Nuevo_Int_Ca,3,IF(Comercial_Ca="x",3,IF(Consumo_Ca="x",4,IF(Microcréd_Ca="x",5)))))</f>
        <v>0.1895</v>
      </c>
      <c r="D115" s="92">
        <f t="shared" si="19"/>
        <v>0.021066743264638976</v>
      </c>
      <c r="E115" s="122">
        <f t="shared" si="20"/>
        <v>0.021066743264638976</v>
      </c>
      <c r="F115" s="70"/>
      <c r="G115" s="117">
        <f t="shared" si="21"/>
        <v>-759050.2334096722</v>
      </c>
      <c r="H115" s="6">
        <f t="shared" si="24"/>
      </c>
      <c r="I115" s="29" t="str">
        <f t="shared" si="17"/>
        <v>0</v>
      </c>
      <c r="J115" s="70"/>
      <c r="K115" s="140"/>
      <c r="L115" s="110">
        <f t="shared" si="22"/>
        <v>0</v>
      </c>
      <c r="M115" s="110">
        <f t="shared" si="25"/>
        <v>-759050.2334096722</v>
      </c>
    </row>
    <row r="116" spans="1:13" ht="12.75" hidden="1">
      <c r="A116" s="93">
        <f t="shared" si="23"/>
        <v>44562</v>
      </c>
      <c r="B116" s="93">
        <f aca="true" t="shared" si="26" ref="B116:B147">IF(AND(A116&gt;=Primar_Ca,A116&lt;=Catmar_Ca),DATE(YEAR(A116),MONTH(A116),14),IF(AND(A116&gt;=Nuevo_Int_Ca,A116&lt;=Sgn_Int_Ca),DATE(YEAR(A116),MONTH(A116),4),IF(A116=DATE(YEAR(Mora_Fin),MONTH(Mora_Fin),DAY(1)),DATE(YEAR(Mora_Fin),MONTH(Mora_Fin),DAY(Mora_Fin)),DATE(YEAR(A116),MONTH(A116)+1,))))</f>
        <v>44592</v>
      </c>
      <c r="C116" s="92">
        <f>VLOOKUP(A116,'intereses desde el 71'!$A:$XFD,IF(A116&lt;Nuevo_Int_Ca,3,IF(Comercial_Ca="x",3,IF(Consumo_Ca="x",4,IF(Microcréd_Ca="x",5)))))</f>
        <v>0.1895</v>
      </c>
      <c r="D116" s="92">
        <f t="shared" si="19"/>
        <v>0.021066743264638976</v>
      </c>
      <c r="E116" s="122">
        <f t="shared" si="20"/>
        <v>0.021066743264638976</v>
      </c>
      <c r="F116" s="70"/>
      <c r="G116" s="117">
        <f t="shared" si="21"/>
        <v>-759050.2334096722</v>
      </c>
      <c r="H116" s="6">
        <f t="shared" si="24"/>
      </c>
      <c r="I116" s="29" t="str">
        <f t="shared" si="17"/>
        <v>0</v>
      </c>
      <c r="J116" s="70"/>
      <c r="K116" s="140"/>
      <c r="L116" s="110">
        <f t="shared" si="22"/>
        <v>0</v>
      </c>
      <c r="M116" s="110">
        <f t="shared" si="25"/>
        <v>-759050.2334096722</v>
      </c>
    </row>
    <row r="117" spans="1:13" ht="12.75" hidden="1">
      <c r="A117" s="93">
        <f t="shared" si="23"/>
        <v>44593</v>
      </c>
      <c r="B117" s="93">
        <f t="shared" si="26"/>
        <v>44620</v>
      </c>
      <c r="C117" s="92">
        <f>VLOOKUP(A117,'intereses desde el 71'!$A:$XFD,IF(A117&lt;Nuevo_Int_Ca,3,IF(Comercial_Ca="x",3,IF(Consumo_Ca="x",4,IF(Microcréd_Ca="x",5)))))</f>
        <v>0.1895</v>
      </c>
      <c r="D117" s="92">
        <f t="shared" si="19"/>
        <v>0.021066743264638976</v>
      </c>
      <c r="E117" s="122">
        <f t="shared" si="20"/>
        <v>0.021066743264638976</v>
      </c>
      <c r="F117" s="70"/>
      <c r="G117" s="117">
        <f t="shared" si="21"/>
        <v>-759050.2334096722</v>
      </c>
      <c r="H117" s="6">
        <f t="shared" si="24"/>
      </c>
      <c r="I117" s="29" t="str">
        <f t="shared" si="17"/>
        <v>0</v>
      </c>
      <c r="J117" s="70"/>
      <c r="K117" s="140"/>
      <c r="L117" s="110">
        <f t="shared" si="22"/>
        <v>0</v>
      </c>
      <c r="M117" s="110">
        <f t="shared" si="25"/>
        <v>-759050.2334096722</v>
      </c>
    </row>
    <row r="118" spans="1:13" ht="12.75" hidden="1">
      <c r="A118" s="93">
        <f t="shared" si="23"/>
        <v>44621</v>
      </c>
      <c r="B118" s="93">
        <f t="shared" si="26"/>
        <v>44651</v>
      </c>
      <c r="C118" s="92">
        <f>VLOOKUP(A118,'intereses desde el 71'!$A:$XFD,IF(A118&lt;Nuevo_Int_Ca,3,IF(Comercial_Ca="x",3,IF(Consumo_Ca="x",4,IF(Microcréd_Ca="x",5)))))</f>
        <v>0.1895</v>
      </c>
      <c r="D118" s="92">
        <f t="shared" si="19"/>
        <v>0.021066743264638976</v>
      </c>
      <c r="E118" s="122">
        <f t="shared" si="20"/>
        <v>0.021066743264638976</v>
      </c>
      <c r="F118" s="70"/>
      <c r="G118" s="117">
        <f t="shared" si="21"/>
        <v>-759050.2334096722</v>
      </c>
      <c r="H118" s="6">
        <f t="shared" si="24"/>
      </c>
      <c r="I118" s="29" t="str">
        <f t="shared" si="17"/>
        <v>0</v>
      </c>
      <c r="J118" s="70"/>
      <c r="K118" s="140"/>
      <c r="L118" s="110">
        <f t="shared" si="22"/>
        <v>0</v>
      </c>
      <c r="M118" s="110">
        <f t="shared" si="25"/>
        <v>-759050.2334096722</v>
      </c>
    </row>
    <row r="119" spans="1:13" ht="12.75" hidden="1">
      <c r="A119" s="93">
        <f t="shared" si="23"/>
        <v>44652</v>
      </c>
      <c r="B119" s="93">
        <f t="shared" si="26"/>
        <v>44681</v>
      </c>
      <c r="C119" s="92">
        <f>VLOOKUP(A119,'intereses desde el 71'!$A:$XFD,IF(A119&lt;Nuevo_Int_Ca,3,IF(Comercial_Ca="x",3,IF(Consumo_Ca="x",4,IF(Microcréd_Ca="x",5)))))</f>
        <v>0.1895</v>
      </c>
      <c r="D119" s="92">
        <f t="shared" si="19"/>
        <v>0.021066743264638976</v>
      </c>
      <c r="E119" s="122">
        <f t="shared" si="20"/>
        <v>0.021066743264638976</v>
      </c>
      <c r="F119" s="70"/>
      <c r="G119" s="117">
        <f t="shared" si="21"/>
        <v>-759050.2334096722</v>
      </c>
      <c r="H119" s="6">
        <f t="shared" si="24"/>
      </c>
      <c r="I119" s="29" t="str">
        <f t="shared" si="17"/>
        <v>0</v>
      </c>
      <c r="J119" s="70"/>
      <c r="K119" s="140"/>
      <c r="L119" s="110">
        <f t="shared" si="22"/>
        <v>0</v>
      </c>
      <c r="M119" s="110">
        <f t="shared" si="25"/>
        <v>-759050.2334096722</v>
      </c>
    </row>
    <row r="120" spans="1:13" ht="12.75" hidden="1">
      <c r="A120" s="93">
        <f t="shared" si="23"/>
        <v>44682</v>
      </c>
      <c r="B120" s="93">
        <f t="shared" si="26"/>
        <v>44712</v>
      </c>
      <c r="C120" s="92">
        <f>VLOOKUP(A120,'intereses desde el 71'!$A:$XFD,IF(A120&lt;Nuevo_Int_Ca,3,IF(Comercial_Ca="x",3,IF(Consumo_Ca="x",4,IF(Microcréd_Ca="x",5)))))</f>
        <v>0.1895</v>
      </c>
      <c r="D120" s="92">
        <f t="shared" si="19"/>
        <v>0.021066743264638976</v>
      </c>
      <c r="E120" s="122">
        <f t="shared" si="20"/>
        <v>0.021066743264638976</v>
      </c>
      <c r="F120" s="70"/>
      <c r="G120" s="117">
        <f t="shared" si="21"/>
        <v>-759050.2334096722</v>
      </c>
      <c r="H120" s="6">
        <f t="shared" si="24"/>
      </c>
      <c r="I120" s="29" t="str">
        <f t="shared" si="17"/>
        <v>0</v>
      </c>
      <c r="J120" s="70"/>
      <c r="K120" s="140"/>
      <c r="L120" s="110">
        <f t="shared" si="22"/>
        <v>0</v>
      </c>
      <c r="M120" s="110">
        <f t="shared" si="25"/>
        <v>-759050.2334096722</v>
      </c>
    </row>
    <row r="121" spans="1:13" ht="12.75" hidden="1">
      <c r="A121" s="93">
        <f t="shared" si="23"/>
        <v>44713</v>
      </c>
      <c r="B121" s="93">
        <f t="shared" si="26"/>
        <v>44742</v>
      </c>
      <c r="C121" s="92">
        <f>VLOOKUP(A121,'intereses desde el 71'!$A:$XFD,IF(A121&lt;Nuevo_Int_Ca,3,IF(Comercial_Ca="x",3,IF(Consumo_Ca="x",4,IF(Microcréd_Ca="x",5)))))</f>
        <v>0.1895</v>
      </c>
      <c r="D121" s="92">
        <f t="shared" si="19"/>
        <v>0.021066743264638976</v>
      </c>
      <c r="E121" s="122">
        <f t="shared" si="20"/>
        <v>0.021066743264638976</v>
      </c>
      <c r="F121" s="70"/>
      <c r="G121" s="117">
        <f t="shared" si="21"/>
        <v>-759050.2334096722</v>
      </c>
      <c r="H121" s="6">
        <f t="shared" si="24"/>
      </c>
      <c r="I121" s="29" t="str">
        <f t="shared" si="17"/>
        <v>0</v>
      </c>
      <c r="J121" s="70"/>
      <c r="K121" s="140"/>
      <c r="L121" s="110">
        <f t="shared" si="22"/>
        <v>0</v>
      </c>
      <c r="M121" s="110">
        <f t="shared" si="25"/>
        <v>-759050.2334096722</v>
      </c>
    </row>
    <row r="122" spans="1:13" ht="12.75" hidden="1">
      <c r="A122" s="93">
        <f t="shared" si="23"/>
        <v>44743</v>
      </c>
      <c r="B122" s="93">
        <f t="shared" si="26"/>
        <v>44773</v>
      </c>
      <c r="C122" s="92">
        <f>VLOOKUP(A122,'intereses desde el 71'!$A:$XFD,IF(A122&lt;Nuevo_Int_Ca,3,IF(Comercial_Ca="x",3,IF(Consumo_Ca="x",4,IF(Microcréd_Ca="x",5)))))</f>
        <v>0.1895</v>
      </c>
      <c r="D122" s="92">
        <f t="shared" si="19"/>
        <v>0.021066743264638976</v>
      </c>
      <c r="E122" s="122">
        <f t="shared" si="20"/>
        <v>0.021066743264638976</v>
      </c>
      <c r="F122" s="70"/>
      <c r="G122" s="117">
        <f t="shared" si="21"/>
        <v>-759050.2334096722</v>
      </c>
      <c r="H122" s="6">
        <f t="shared" si="24"/>
      </c>
      <c r="I122" s="29" t="str">
        <f t="shared" si="17"/>
        <v>0</v>
      </c>
      <c r="J122" s="70"/>
      <c r="K122" s="140"/>
      <c r="L122" s="110">
        <f t="shared" si="22"/>
        <v>0</v>
      </c>
      <c r="M122" s="110">
        <f t="shared" si="25"/>
        <v>-759050.2334096722</v>
      </c>
    </row>
    <row r="123" spans="1:13" ht="12.75" hidden="1">
      <c r="A123" s="93">
        <f t="shared" si="23"/>
        <v>44774</v>
      </c>
      <c r="B123" s="93">
        <f t="shared" si="26"/>
        <v>44804</v>
      </c>
      <c r="C123" s="92">
        <f>VLOOKUP(A123,'intereses desde el 71'!$A:$XFD,IF(A123&lt;Nuevo_Int_Ca,3,IF(Comercial_Ca="x",3,IF(Consumo_Ca="x",4,IF(Microcréd_Ca="x",5)))))</f>
        <v>0.1895</v>
      </c>
      <c r="D123" s="92">
        <f t="shared" si="19"/>
        <v>0.021066743264638976</v>
      </c>
      <c r="E123" s="122">
        <f t="shared" si="20"/>
        <v>0.021066743264638976</v>
      </c>
      <c r="F123" s="70"/>
      <c r="G123" s="117">
        <f t="shared" si="21"/>
        <v>-759050.2334096722</v>
      </c>
      <c r="H123" s="6">
        <f t="shared" si="24"/>
      </c>
      <c r="I123" s="29" t="str">
        <f t="shared" si="17"/>
        <v>0</v>
      </c>
      <c r="J123" s="70"/>
      <c r="K123" s="140"/>
      <c r="L123" s="110">
        <f t="shared" si="22"/>
        <v>0</v>
      </c>
      <c r="M123" s="110">
        <f t="shared" si="25"/>
        <v>-759050.2334096722</v>
      </c>
    </row>
    <row r="124" spans="1:13" ht="12.75" hidden="1">
      <c r="A124" s="93">
        <f t="shared" si="23"/>
        <v>44805</v>
      </c>
      <c r="B124" s="93">
        <f t="shared" si="26"/>
        <v>44834</v>
      </c>
      <c r="C124" s="92">
        <f>VLOOKUP(A124,'intereses desde el 71'!$A:$XFD,IF(A124&lt;Nuevo_Int_Ca,3,IF(Comercial_Ca="x",3,IF(Consumo_Ca="x",4,IF(Microcréd_Ca="x",5)))))</f>
        <v>0.1895</v>
      </c>
      <c r="D124" s="92">
        <f t="shared" si="19"/>
        <v>0.021066743264638976</v>
      </c>
      <c r="E124" s="122">
        <f t="shared" si="20"/>
        <v>0.021066743264638976</v>
      </c>
      <c r="F124" s="70"/>
      <c r="G124" s="117">
        <f t="shared" si="21"/>
        <v>-759050.2334096722</v>
      </c>
      <c r="H124" s="6">
        <f t="shared" si="24"/>
      </c>
      <c r="I124" s="29" t="str">
        <f t="shared" si="17"/>
        <v>0</v>
      </c>
      <c r="J124" s="70"/>
      <c r="K124" s="140"/>
      <c r="L124" s="110">
        <f t="shared" si="22"/>
        <v>0</v>
      </c>
      <c r="M124" s="110">
        <f t="shared" si="25"/>
        <v>-759050.2334096722</v>
      </c>
    </row>
    <row r="125" spans="1:13" ht="12.75" hidden="1">
      <c r="A125" s="93">
        <f t="shared" si="23"/>
        <v>44835</v>
      </c>
      <c r="B125" s="93">
        <f t="shared" si="26"/>
        <v>44865</v>
      </c>
      <c r="C125" s="92">
        <f>VLOOKUP(A125,'intereses desde el 71'!$A:$XFD,IF(A125&lt;Nuevo_Int_Ca,3,IF(Comercial_Ca="x",3,IF(Consumo_Ca="x",4,IF(Microcréd_Ca="x",5)))))</f>
        <v>0.1895</v>
      </c>
      <c r="D125" s="92">
        <f t="shared" si="19"/>
        <v>0.021066743264638976</v>
      </c>
      <c r="E125" s="122">
        <f t="shared" si="20"/>
        <v>0.021066743264638976</v>
      </c>
      <c r="F125" s="70"/>
      <c r="G125" s="117">
        <f t="shared" si="21"/>
        <v>-759050.2334096722</v>
      </c>
      <c r="H125" s="6">
        <f t="shared" si="24"/>
      </c>
      <c r="I125" s="29" t="str">
        <f t="shared" si="17"/>
        <v>0</v>
      </c>
      <c r="J125" s="70"/>
      <c r="K125" s="140"/>
      <c r="L125" s="110">
        <f t="shared" si="22"/>
        <v>0</v>
      </c>
      <c r="M125" s="110">
        <f t="shared" si="25"/>
        <v>-759050.2334096722</v>
      </c>
    </row>
    <row r="126" spans="1:13" ht="12.75" hidden="1">
      <c r="A126" s="93">
        <f t="shared" si="23"/>
        <v>44866</v>
      </c>
      <c r="B126" s="93">
        <f t="shared" si="26"/>
        <v>44895</v>
      </c>
      <c r="C126" s="92">
        <f>VLOOKUP(A126,'intereses desde el 71'!$A:$XFD,IF(A126&lt;Nuevo_Int_Ca,3,IF(Comercial_Ca="x",3,IF(Consumo_Ca="x",4,IF(Microcréd_Ca="x",5)))))</f>
        <v>0.1895</v>
      </c>
      <c r="D126" s="92">
        <f t="shared" si="19"/>
        <v>0.021066743264638976</v>
      </c>
      <c r="E126" s="122">
        <f t="shared" si="20"/>
        <v>0.021066743264638976</v>
      </c>
      <c r="F126" s="70"/>
      <c r="G126" s="117">
        <f t="shared" si="21"/>
        <v>-759050.2334096722</v>
      </c>
      <c r="H126" s="6">
        <f t="shared" si="24"/>
      </c>
      <c r="I126" s="29" t="str">
        <f t="shared" si="17"/>
        <v>0</v>
      </c>
      <c r="J126" s="70"/>
      <c r="K126" s="140"/>
      <c r="L126" s="110">
        <f t="shared" si="22"/>
        <v>0</v>
      </c>
      <c r="M126" s="110">
        <f t="shared" si="25"/>
        <v>-759050.2334096722</v>
      </c>
    </row>
    <row r="127" spans="1:13" ht="12.75" hidden="1">
      <c r="A127" s="93">
        <f t="shared" si="23"/>
        <v>44896</v>
      </c>
      <c r="B127" s="93">
        <f t="shared" si="26"/>
        <v>44926</v>
      </c>
      <c r="C127" s="92">
        <f>VLOOKUP(A127,'intereses desde el 71'!$A:$XFD,IF(A127&lt;Nuevo_Int_Ca,3,IF(Comercial_Ca="x",3,IF(Consumo_Ca="x",4,IF(Microcréd_Ca="x",5)))))</f>
        <v>0.1895</v>
      </c>
      <c r="D127" s="92">
        <f t="shared" si="19"/>
        <v>0.021066743264638976</v>
      </c>
      <c r="E127" s="122">
        <f t="shared" si="20"/>
        <v>0.021066743264638976</v>
      </c>
      <c r="F127" s="70"/>
      <c r="G127" s="117">
        <f t="shared" si="21"/>
        <v>-759050.2334096722</v>
      </c>
      <c r="H127" s="6">
        <f t="shared" si="24"/>
      </c>
      <c r="I127" s="29" t="str">
        <f t="shared" si="17"/>
        <v>0</v>
      </c>
      <c r="J127" s="70"/>
      <c r="K127" s="140"/>
      <c r="L127" s="110">
        <f t="shared" si="22"/>
        <v>0</v>
      </c>
      <c r="M127" s="110">
        <f t="shared" si="25"/>
        <v>-759050.2334096722</v>
      </c>
    </row>
    <row r="128" spans="1:13" ht="12.75" hidden="1">
      <c r="A128" s="93">
        <f t="shared" si="23"/>
        <v>44927</v>
      </c>
      <c r="B128" s="93">
        <f t="shared" si="26"/>
        <v>44957</v>
      </c>
      <c r="C128" s="92">
        <f>VLOOKUP(A128,'intereses desde el 71'!$A:$XFD,IF(A128&lt;Nuevo_Int_Ca,3,IF(Comercial_Ca="x",3,IF(Consumo_Ca="x",4,IF(Microcréd_Ca="x",5)))))</f>
        <v>0.1895</v>
      </c>
      <c r="D128" s="92">
        <f t="shared" si="19"/>
        <v>0.021066743264638976</v>
      </c>
      <c r="E128" s="122">
        <f t="shared" si="20"/>
        <v>0.021066743264638976</v>
      </c>
      <c r="F128" s="70"/>
      <c r="G128" s="117">
        <f t="shared" si="21"/>
        <v>-759050.2334096722</v>
      </c>
      <c r="H128" s="6">
        <f t="shared" si="24"/>
      </c>
      <c r="I128" s="29" t="str">
        <f t="shared" si="17"/>
        <v>0</v>
      </c>
      <c r="J128" s="70"/>
      <c r="K128" s="140"/>
      <c r="L128" s="110">
        <f t="shared" si="22"/>
        <v>0</v>
      </c>
      <c r="M128" s="110">
        <f t="shared" si="25"/>
        <v>-759050.2334096722</v>
      </c>
    </row>
    <row r="129" spans="1:13" ht="12.75" hidden="1">
      <c r="A129" s="93">
        <f t="shared" si="23"/>
        <v>44958</v>
      </c>
      <c r="B129" s="93">
        <f t="shared" si="26"/>
        <v>44985</v>
      </c>
      <c r="C129" s="92">
        <f>VLOOKUP(A129,'intereses desde el 71'!$A:$XFD,IF(A129&lt;Nuevo_Int_Ca,3,IF(Comercial_Ca="x",3,IF(Consumo_Ca="x",4,IF(Microcréd_Ca="x",5)))))</f>
        <v>0.1895</v>
      </c>
      <c r="D129" s="92">
        <f t="shared" si="19"/>
        <v>0.021066743264638976</v>
      </c>
      <c r="E129" s="122">
        <f t="shared" si="20"/>
        <v>0.021066743264638976</v>
      </c>
      <c r="F129" s="70"/>
      <c r="G129" s="117">
        <f t="shared" si="21"/>
        <v>-759050.2334096722</v>
      </c>
      <c r="H129" s="6">
        <f t="shared" si="24"/>
      </c>
      <c r="I129" s="29" t="str">
        <f t="shared" si="17"/>
        <v>0</v>
      </c>
      <c r="J129" s="70"/>
      <c r="K129" s="140"/>
      <c r="L129" s="110">
        <f t="shared" si="22"/>
        <v>0</v>
      </c>
      <c r="M129" s="110">
        <f t="shared" si="25"/>
        <v>-759050.2334096722</v>
      </c>
    </row>
    <row r="130" spans="1:13" ht="12.75" hidden="1">
      <c r="A130" s="93">
        <f t="shared" si="23"/>
        <v>44986</v>
      </c>
      <c r="B130" s="93">
        <f t="shared" si="26"/>
        <v>45016</v>
      </c>
      <c r="C130" s="92">
        <f>VLOOKUP(A130,'intereses desde el 71'!$A:$XFD,IF(A130&lt;Nuevo_Int_Ca,3,IF(Comercial_Ca="x",3,IF(Consumo_Ca="x",4,IF(Microcréd_Ca="x",5)))))</f>
        <v>0.1895</v>
      </c>
      <c r="D130" s="92">
        <f t="shared" si="19"/>
        <v>0.021066743264638976</v>
      </c>
      <c r="E130" s="122">
        <f t="shared" si="20"/>
        <v>0.021066743264638976</v>
      </c>
      <c r="F130" s="70"/>
      <c r="G130" s="117">
        <f t="shared" si="21"/>
        <v>-759050.2334096722</v>
      </c>
      <c r="H130" s="6">
        <f t="shared" si="24"/>
      </c>
      <c r="I130" s="29" t="str">
        <f t="shared" si="17"/>
        <v>0</v>
      </c>
      <c r="J130" s="70"/>
      <c r="K130" s="140"/>
      <c r="L130" s="110">
        <f t="shared" si="22"/>
        <v>0</v>
      </c>
      <c r="M130" s="110">
        <f t="shared" si="25"/>
        <v>-759050.2334096722</v>
      </c>
    </row>
    <row r="131" spans="1:13" ht="12.75" hidden="1">
      <c r="A131" s="93">
        <f t="shared" si="23"/>
        <v>45017</v>
      </c>
      <c r="B131" s="93">
        <f t="shared" si="26"/>
        <v>45046</v>
      </c>
      <c r="C131" s="92">
        <f>VLOOKUP(A131,'intereses desde el 71'!$A:$XFD,IF(A131&lt;Nuevo_Int_Ca,3,IF(Comercial_Ca="x",3,IF(Consumo_Ca="x",4,IF(Microcréd_Ca="x",5)))))</f>
        <v>0.1895</v>
      </c>
      <c r="D131" s="92">
        <f t="shared" si="19"/>
        <v>0.021066743264638976</v>
      </c>
      <c r="E131" s="122">
        <f t="shared" si="20"/>
        <v>0.021066743264638976</v>
      </c>
      <c r="F131" s="70"/>
      <c r="G131" s="117">
        <f t="shared" si="21"/>
        <v>-759050.2334096722</v>
      </c>
      <c r="H131" s="6">
        <f t="shared" si="24"/>
      </c>
      <c r="I131" s="29" t="str">
        <f t="shared" si="17"/>
        <v>0</v>
      </c>
      <c r="J131" s="70"/>
      <c r="K131" s="140"/>
      <c r="L131" s="110">
        <f t="shared" si="22"/>
        <v>0</v>
      </c>
      <c r="M131" s="110">
        <f t="shared" si="25"/>
        <v>-759050.2334096722</v>
      </c>
    </row>
    <row r="132" spans="1:13" ht="12.75" hidden="1">
      <c r="A132" s="93">
        <f t="shared" si="23"/>
        <v>45047</v>
      </c>
      <c r="B132" s="93">
        <f t="shared" si="26"/>
        <v>45077</v>
      </c>
      <c r="C132" s="92">
        <f>VLOOKUP(A132,'intereses desde el 71'!$A:$XFD,IF(A132&lt;Nuevo_Int_Ca,3,IF(Comercial_Ca="x",3,IF(Consumo_Ca="x",4,IF(Microcréd_Ca="x",5)))))</f>
        <v>0.1895</v>
      </c>
      <c r="D132" s="92">
        <f t="shared" si="19"/>
        <v>0.021066743264638976</v>
      </c>
      <c r="E132" s="122">
        <f t="shared" si="20"/>
        <v>0.021066743264638976</v>
      </c>
      <c r="F132" s="70"/>
      <c r="G132" s="117">
        <f t="shared" si="21"/>
        <v>-759050.2334096722</v>
      </c>
      <c r="H132" s="6">
        <f t="shared" si="24"/>
      </c>
      <c r="I132" s="29" t="str">
        <f t="shared" si="17"/>
        <v>0</v>
      </c>
      <c r="J132" s="70"/>
      <c r="K132" s="140"/>
      <c r="L132" s="110">
        <f t="shared" si="22"/>
        <v>0</v>
      </c>
      <c r="M132" s="110">
        <f t="shared" si="25"/>
        <v>-759050.2334096722</v>
      </c>
    </row>
    <row r="133" spans="1:13" ht="12.75" hidden="1">
      <c r="A133" s="93">
        <f t="shared" si="23"/>
        <v>45078</v>
      </c>
      <c r="B133" s="93">
        <f t="shared" si="26"/>
        <v>45107</v>
      </c>
      <c r="C133" s="92">
        <f>VLOOKUP(A133,'intereses desde el 71'!$A:$XFD,IF(A133&lt;Nuevo_Int_Ca,3,IF(Comercial_Ca="x",3,IF(Consumo_Ca="x",4,IF(Microcréd_Ca="x",5)))))</f>
        <v>0.1895</v>
      </c>
      <c r="D133" s="92">
        <f t="shared" si="19"/>
        <v>0.021066743264638976</v>
      </c>
      <c r="E133" s="122">
        <f t="shared" si="20"/>
        <v>0.021066743264638976</v>
      </c>
      <c r="F133" s="70"/>
      <c r="G133" s="117">
        <f t="shared" si="21"/>
        <v>-759050.2334096722</v>
      </c>
      <c r="H133" s="6">
        <f t="shared" si="24"/>
      </c>
      <c r="I133" s="29" t="str">
        <f t="shared" si="17"/>
        <v>0</v>
      </c>
      <c r="J133" s="70"/>
      <c r="K133" s="140"/>
      <c r="L133" s="110">
        <f t="shared" si="22"/>
        <v>0</v>
      </c>
      <c r="M133" s="110">
        <f t="shared" si="25"/>
        <v>-759050.2334096722</v>
      </c>
    </row>
    <row r="134" spans="1:13" ht="12.75" hidden="1">
      <c r="A134" s="93">
        <f t="shared" si="23"/>
        <v>45108</v>
      </c>
      <c r="B134" s="93">
        <f t="shared" si="26"/>
        <v>45138</v>
      </c>
      <c r="C134" s="92">
        <f>VLOOKUP(A134,'intereses desde el 71'!$A:$XFD,IF(A134&lt;Nuevo_Int_Ca,3,IF(Comercial_Ca="x",3,IF(Consumo_Ca="x",4,IF(Microcréd_Ca="x",5)))))</f>
        <v>0.1895</v>
      </c>
      <c r="D134" s="92">
        <f t="shared" si="19"/>
        <v>0.021066743264638976</v>
      </c>
      <c r="E134" s="122">
        <f t="shared" si="20"/>
        <v>0.021066743264638976</v>
      </c>
      <c r="F134" s="70"/>
      <c r="G134" s="117">
        <f t="shared" si="21"/>
        <v>-759050.2334096722</v>
      </c>
      <c r="H134" s="6">
        <f t="shared" si="24"/>
      </c>
      <c r="I134" s="29" t="str">
        <f t="shared" si="17"/>
        <v>0</v>
      </c>
      <c r="J134" s="70"/>
      <c r="K134" s="140"/>
      <c r="L134" s="110">
        <f t="shared" si="22"/>
        <v>0</v>
      </c>
      <c r="M134" s="110">
        <f t="shared" si="25"/>
        <v>-759050.2334096722</v>
      </c>
    </row>
    <row r="135" spans="1:13" ht="12.75" hidden="1">
      <c r="A135" s="93">
        <f t="shared" si="23"/>
        <v>45139</v>
      </c>
      <c r="B135" s="93">
        <f t="shared" si="26"/>
        <v>45169</v>
      </c>
      <c r="C135" s="92">
        <f>VLOOKUP(A135,'intereses desde el 71'!$A:$XFD,IF(A135&lt;Nuevo_Int_Ca,3,IF(Comercial_Ca="x",3,IF(Consumo_Ca="x",4,IF(Microcréd_Ca="x",5)))))</f>
        <v>0.1895</v>
      </c>
      <c r="D135" s="92">
        <f t="shared" si="19"/>
        <v>0.021066743264638976</v>
      </c>
      <c r="E135" s="122">
        <f t="shared" si="20"/>
        <v>0.021066743264638976</v>
      </c>
      <c r="F135" s="70"/>
      <c r="G135" s="117">
        <f t="shared" si="21"/>
        <v>-759050.2334096722</v>
      </c>
      <c r="H135" s="6">
        <f t="shared" si="24"/>
      </c>
      <c r="I135" s="29" t="str">
        <f t="shared" si="17"/>
        <v>0</v>
      </c>
      <c r="J135" s="70"/>
      <c r="K135" s="140"/>
      <c r="L135" s="110">
        <f t="shared" si="22"/>
        <v>0</v>
      </c>
      <c r="M135" s="110">
        <f t="shared" si="25"/>
        <v>-759050.2334096722</v>
      </c>
    </row>
    <row r="136" spans="1:13" ht="12.75" hidden="1">
      <c r="A136" s="93">
        <f t="shared" si="23"/>
        <v>45170</v>
      </c>
      <c r="B136" s="93">
        <f t="shared" si="26"/>
        <v>45199</v>
      </c>
      <c r="C136" s="92">
        <f>VLOOKUP(A136,'intereses desde el 71'!$A:$XFD,IF(A136&lt;Nuevo_Int_Ca,3,IF(Comercial_Ca="x",3,IF(Consumo_Ca="x",4,IF(Microcréd_Ca="x",5)))))</f>
        <v>0.1895</v>
      </c>
      <c r="D136" s="92">
        <f t="shared" si="19"/>
        <v>0.021066743264638976</v>
      </c>
      <c r="E136" s="122">
        <f t="shared" si="20"/>
        <v>0.021066743264638976</v>
      </c>
      <c r="F136" s="70"/>
      <c r="G136" s="117">
        <f t="shared" si="21"/>
        <v>-759050.2334096722</v>
      </c>
      <c r="H136" s="6">
        <f t="shared" si="24"/>
      </c>
      <c r="I136" s="29" t="str">
        <f t="shared" si="17"/>
        <v>0</v>
      </c>
      <c r="J136" s="70"/>
      <c r="K136" s="140"/>
      <c r="L136" s="110">
        <f t="shared" si="22"/>
        <v>0</v>
      </c>
      <c r="M136" s="110">
        <f t="shared" si="25"/>
        <v>-759050.2334096722</v>
      </c>
    </row>
    <row r="137" spans="1:13" ht="12.75" hidden="1">
      <c r="A137" s="93">
        <f t="shared" si="23"/>
        <v>45200</v>
      </c>
      <c r="B137" s="93">
        <f t="shared" si="26"/>
        <v>45230</v>
      </c>
      <c r="C137" s="92">
        <f>VLOOKUP(A137,'intereses desde el 71'!$A:$XFD,IF(A137&lt;Nuevo_Int_Ca,3,IF(Comercial_Ca="x",3,IF(Consumo_Ca="x",4,IF(Microcréd_Ca="x",5)))))</f>
        <v>0.1895</v>
      </c>
      <c r="D137" s="92">
        <f t="shared" si="19"/>
        <v>0.021066743264638976</v>
      </c>
      <c r="E137" s="122">
        <f t="shared" si="20"/>
        <v>0.021066743264638976</v>
      </c>
      <c r="F137" s="70"/>
      <c r="G137" s="117">
        <f t="shared" si="21"/>
        <v>-759050.2334096722</v>
      </c>
      <c r="H137" s="6">
        <f t="shared" si="24"/>
      </c>
      <c r="I137" s="29" t="str">
        <f t="shared" si="17"/>
        <v>0</v>
      </c>
      <c r="J137" s="70"/>
      <c r="K137" s="140"/>
      <c r="L137" s="110">
        <f t="shared" si="22"/>
        <v>0</v>
      </c>
      <c r="M137" s="110">
        <f t="shared" si="25"/>
        <v>-759050.2334096722</v>
      </c>
    </row>
    <row r="138" spans="1:13" ht="12.75" hidden="1">
      <c r="A138" s="93">
        <f t="shared" si="23"/>
        <v>45231</v>
      </c>
      <c r="B138" s="93">
        <f t="shared" si="26"/>
        <v>45260</v>
      </c>
      <c r="C138" s="92">
        <f>VLOOKUP(A138,'intereses desde el 71'!$A:$XFD,IF(A138&lt;Nuevo_Int_Ca,3,IF(Comercial_Ca="x",3,IF(Consumo_Ca="x",4,IF(Microcréd_Ca="x",5)))))</f>
        <v>0.1895</v>
      </c>
      <c r="D138" s="92">
        <f t="shared" si="19"/>
        <v>0.021066743264638976</v>
      </c>
      <c r="E138" s="122">
        <f t="shared" si="20"/>
        <v>0.021066743264638976</v>
      </c>
      <c r="F138" s="70"/>
      <c r="G138" s="117">
        <f t="shared" si="21"/>
        <v>-759050.2334096722</v>
      </c>
      <c r="H138" s="6">
        <f t="shared" si="24"/>
      </c>
      <c r="I138" s="29" t="str">
        <f t="shared" si="17"/>
        <v>0</v>
      </c>
      <c r="J138" s="70"/>
      <c r="K138" s="140"/>
      <c r="L138" s="110">
        <f t="shared" si="22"/>
        <v>0</v>
      </c>
      <c r="M138" s="110">
        <f t="shared" si="25"/>
        <v>-759050.2334096722</v>
      </c>
    </row>
    <row r="139" spans="1:13" ht="12.75" hidden="1">
      <c r="A139" s="93">
        <f t="shared" si="23"/>
        <v>45261</v>
      </c>
      <c r="B139" s="93">
        <f t="shared" si="26"/>
        <v>45291</v>
      </c>
      <c r="C139" s="92">
        <f>VLOOKUP(A139,'intereses desde el 71'!$A:$XFD,IF(A139&lt;Nuevo_Int_Ca,3,IF(Comercial_Ca="x",3,IF(Consumo_Ca="x",4,IF(Microcréd_Ca="x",5)))))</f>
        <v>0.1895</v>
      </c>
      <c r="D139" s="92">
        <f t="shared" si="19"/>
        <v>0.021066743264638976</v>
      </c>
      <c r="E139" s="122">
        <f t="shared" si="20"/>
        <v>0.021066743264638976</v>
      </c>
      <c r="F139" s="70"/>
      <c r="G139" s="117">
        <f t="shared" si="21"/>
        <v>-759050.2334096722</v>
      </c>
      <c r="H139" s="6">
        <f t="shared" si="24"/>
      </c>
      <c r="I139" s="29" t="str">
        <f t="shared" si="17"/>
        <v>0</v>
      </c>
      <c r="J139" s="70"/>
      <c r="K139" s="140"/>
      <c r="L139" s="110">
        <f t="shared" si="22"/>
        <v>0</v>
      </c>
      <c r="M139" s="110">
        <f t="shared" si="25"/>
        <v>-759050.2334096722</v>
      </c>
    </row>
    <row r="140" spans="1:13" ht="12.75" hidden="1">
      <c r="A140" s="93">
        <f t="shared" si="23"/>
        <v>45292</v>
      </c>
      <c r="B140" s="93">
        <f t="shared" si="26"/>
        <v>45322</v>
      </c>
      <c r="C140" s="92">
        <f>VLOOKUP(A140,'intereses desde el 71'!$A:$XFD,IF(A140&lt;Nuevo_Int_Ca,3,IF(Comercial_Ca="x",3,IF(Consumo_Ca="x",4,IF(Microcréd_Ca="x",5)))))</f>
        <v>0.1895</v>
      </c>
      <c r="D140" s="92">
        <f t="shared" si="19"/>
        <v>0.021066743264638976</v>
      </c>
      <c r="E140" s="122">
        <f t="shared" si="20"/>
        <v>0.021066743264638976</v>
      </c>
      <c r="F140" s="70"/>
      <c r="G140" s="117">
        <f t="shared" si="21"/>
        <v>-759050.2334096722</v>
      </c>
      <c r="H140" s="6">
        <f t="shared" si="24"/>
      </c>
      <c r="I140" s="29" t="str">
        <f t="shared" si="17"/>
        <v>0</v>
      </c>
      <c r="J140" s="70"/>
      <c r="K140" s="140"/>
      <c r="L140" s="110">
        <f t="shared" si="22"/>
        <v>0</v>
      </c>
      <c r="M140" s="110">
        <f t="shared" si="25"/>
        <v>-759050.2334096722</v>
      </c>
    </row>
    <row r="141" spans="1:13" ht="12.75" hidden="1">
      <c r="A141" s="93">
        <f t="shared" si="23"/>
        <v>45323</v>
      </c>
      <c r="B141" s="93">
        <f t="shared" si="26"/>
        <v>45351</v>
      </c>
      <c r="C141" s="92">
        <f>VLOOKUP(A141,'intereses desde el 71'!$A:$XFD,IF(A141&lt;Nuevo_Int_Ca,3,IF(Comercial_Ca="x",3,IF(Consumo_Ca="x",4,IF(Microcréd_Ca="x",5)))))</f>
        <v>0.1895</v>
      </c>
      <c r="D141" s="92">
        <f t="shared" si="19"/>
        <v>0.021066743264638976</v>
      </c>
      <c r="E141" s="122">
        <f t="shared" si="20"/>
        <v>0.021066743264638976</v>
      </c>
      <c r="F141" s="70"/>
      <c r="G141" s="117">
        <f t="shared" si="21"/>
        <v>-759050.2334096722</v>
      </c>
      <c r="H141" s="6">
        <f t="shared" si="24"/>
      </c>
      <c r="I141" s="29" t="str">
        <f t="shared" si="17"/>
        <v>0</v>
      </c>
      <c r="J141" s="70"/>
      <c r="K141" s="140"/>
      <c r="L141" s="110">
        <f t="shared" si="22"/>
        <v>0</v>
      </c>
      <c r="M141" s="110">
        <f t="shared" si="25"/>
        <v>-759050.2334096722</v>
      </c>
    </row>
    <row r="142" spans="1:13" ht="12.75" hidden="1">
      <c r="A142" s="93">
        <f t="shared" si="23"/>
        <v>45352</v>
      </c>
      <c r="B142" s="93">
        <f t="shared" si="26"/>
        <v>45382</v>
      </c>
      <c r="C142" s="92">
        <f>VLOOKUP(A142,'intereses desde el 71'!$A:$XFD,IF(A142&lt;Nuevo_Int_Ca,3,IF(Comercial_Ca="x",3,IF(Consumo_Ca="x",4,IF(Microcréd_Ca="x",5)))))</f>
        <v>0.1895</v>
      </c>
      <c r="D142" s="92">
        <f t="shared" si="19"/>
        <v>0.021066743264638976</v>
      </c>
      <c r="E142" s="122">
        <f t="shared" si="20"/>
        <v>0.021066743264638976</v>
      </c>
      <c r="F142" s="70"/>
      <c r="G142" s="117">
        <f t="shared" si="21"/>
        <v>-759050.2334096722</v>
      </c>
      <c r="H142" s="6">
        <f t="shared" si="24"/>
      </c>
      <c r="I142" s="29" t="str">
        <f t="shared" si="17"/>
        <v>0</v>
      </c>
      <c r="J142" s="70"/>
      <c r="K142" s="140"/>
      <c r="L142" s="110">
        <f t="shared" si="22"/>
        <v>0</v>
      </c>
      <c r="M142" s="110">
        <f t="shared" si="25"/>
        <v>-759050.2334096722</v>
      </c>
    </row>
    <row r="143" spans="1:13" ht="12.75" hidden="1">
      <c r="A143" s="93">
        <f t="shared" si="23"/>
        <v>45383</v>
      </c>
      <c r="B143" s="93">
        <f t="shared" si="26"/>
        <v>45412</v>
      </c>
      <c r="C143" s="92">
        <f>VLOOKUP(A143,'intereses desde el 71'!$A:$XFD,IF(A143&lt;Nuevo_Int_Ca,3,IF(Comercial_Ca="x",3,IF(Consumo_Ca="x",4,IF(Microcréd_Ca="x",5)))))</f>
        <v>0.1895</v>
      </c>
      <c r="D143" s="92">
        <f t="shared" si="19"/>
        <v>0.021066743264638976</v>
      </c>
      <c r="E143" s="122">
        <f t="shared" si="20"/>
        <v>0.021066743264638976</v>
      </c>
      <c r="F143" s="70"/>
      <c r="G143" s="117">
        <f t="shared" si="21"/>
        <v>-759050.2334096722</v>
      </c>
      <c r="H143" s="6">
        <f t="shared" si="24"/>
      </c>
      <c r="I143" s="29" t="str">
        <f t="shared" si="17"/>
        <v>0</v>
      </c>
      <c r="J143" s="70"/>
      <c r="K143" s="140"/>
      <c r="L143" s="110">
        <f t="shared" si="22"/>
        <v>0</v>
      </c>
      <c r="M143" s="110">
        <f t="shared" si="25"/>
        <v>-759050.2334096722</v>
      </c>
    </row>
    <row r="144" spans="1:13" ht="12.75" hidden="1">
      <c r="A144" s="93">
        <f t="shared" si="23"/>
        <v>45413</v>
      </c>
      <c r="B144" s="93">
        <f t="shared" si="26"/>
        <v>45443</v>
      </c>
      <c r="C144" s="92">
        <f>VLOOKUP(A144,'intereses desde el 71'!$A:$XFD,IF(A144&lt;Nuevo_Int_Ca,3,IF(Comercial_Ca="x",3,IF(Consumo_Ca="x",4,IF(Microcréd_Ca="x",5)))))</f>
        <v>0.1895</v>
      </c>
      <c r="D144" s="92">
        <f t="shared" si="19"/>
        <v>0.021066743264638976</v>
      </c>
      <c r="E144" s="122">
        <f t="shared" si="20"/>
        <v>0.021066743264638976</v>
      </c>
      <c r="F144" s="70"/>
      <c r="G144" s="117">
        <f t="shared" si="21"/>
        <v>-759050.2334096722</v>
      </c>
      <c r="H144" s="6">
        <f t="shared" si="24"/>
      </c>
      <c r="I144" s="29" t="str">
        <f t="shared" si="17"/>
        <v>0</v>
      </c>
      <c r="J144" s="70"/>
      <c r="K144" s="140"/>
      <c r="L144" s="110">
        <f t="shared" si="22"/>
        <v>0</v>
      </c>
      <c r="M144" s="110">
        <f t="shared" si="25"/>
        <v>-759050.2334096722</v>
      </c>
    </row>
    <row r="145" spans="1:13" ht="12.75" hidden="1">
      <c r="A145" s="93">
        <f t="shared" si="23"/>
        <v>45444</v>
      </c>
      <c r="B145" s="93">
        <f t="shared" si="26"/>
        <v>45473</v>
      </c>
      <c r="C145" s="92">
        <f>VLOOKUP(A145,'intereses desde el 71'!$A:$XFD,IF(A145&lt;Nuevo_Int_Ca,3,IF(Comercial_Ca="x",3,IF(Consumo_Ca="x",4,IF(Microcréd_Ca="x",5)))))</f>
        <v>0.1895</v>
      </c>
      <c r="D145" s="92">
        <f t="shared" si="19"/>
        <v>0.021066743264638976</v>
      </c>
      <c r="E145" s="122">
        <f t="shared" si="20"/>
        <v>0.021066743264638976</v>
      </c>
      <c r="F145" s="70"/>
      <c r="G145" s="117">
        <f t="shared" si="21"/>
        <v>-759050.2334096722</v>
      </c>
      <c r="H145" s="6">
        <f t="shared" si="24"/>
      </c>
      <c r="I145" s="29" t="str">
        <f t="shared" si="17"/>
        <v>0</v>
      </c>
      <c r="J145" s="70"/>
      <c r="K145" s="140"/>
      <c r="L145" s="110">
        <f t="shared" si="22"/>
        <v>0</v>
      </c>
      <c r="M145" s="110">
        <f t="shared" si="25"/>
        <v>-759050.2334096722</v>
      </c>
    </row>
    <row r="146" spans="1:13" ht="12.75" hidden="1">
      <c r="A146" s="93">
        <f t="shared" si="23"/>
        <v>45474</v>
      </c>
      <c r="B146" s="93">
        <f t="shared" si="26"/>
        <v>45504</v>
      </c>
      <c r="C146" s="92">
        <f>VLOOKUP(A146,'intereses desde el 71'!$A:$XFD,IF(A146&lt;Nuevo_Int_Ca,3,IF(Comercial_Ca="x",3,IF(Consumo_Ca="x",4,IF(Microcréd_Ca="x",5)))))</f>
        <v>0.1895</v>
      </c>
      <c r="D146" s="92">
        <f t="shared" si="19"/>
        <v>0.021066743264638976</v>
      </c>
      <c r="E146" s="122">
        <f t="shared" si="20"/>
        <v>0.021066743264638976</v>
      </c>
      <c r="F146" s="70"/>
      <c r="G146" s="117">
        <f t="shared" si="21"/>
        <v>-759050.2334096722</v>
      </c>
      <c r="H146" s="6">
        <f aca="true" t="shared" si="27" ref="H146:H174">IF(Colm_Des&gt;Mora_Fin,"",IF(A146="","",DAYS360(A146,B146+(1))))</f>
      </c>
      <c r="I146" s="29" t="str">
        <f t="shared" si="17"/>
        <v>0</v>
      </c>
      <c r="J146" s="70"/>
      <c r="K146" s="140"/>
      <c r="L146" s="110">
        <f t="shared" si="22"/>
        <v>0</v>
      </c>
      <c r="M146" s="110">
        <f t="shared" si="25"/>
        <v>-759050.2334096722</v>
      </c>
    </row>
    <row r="147" spans="1:13" ht="12.75" hidden="1">
      <c r="A147" s="93">
        <f t="shared" si="23"/>
        <v>45505</v>
      </c>
      <c r="B147" s="93">
        <f t="shared" si="26"/>
        <v>45535</v>
      </c>
      <c r="C147" s="92">
        <f>VLOOKUP(A147,'intereses desde el 71'!$A:$XFD,IF(A147&lt;Nuevo_Int_Ca,3,IF(Comercial_Ca="x",3,IF(Consumo_Ca="x",4,IF(Microcréd_Ca="x",5)))))</f>
        <v>0.1895</v>
      </c>
      <c r="D147" s="92">
        <f t="shared" si="19"/>
        <v>0.021066743264638976</v>
      </c>
      <c r="E147" s="122">
        <f t="shared" si="20"/>
        <v>0.021066743264638976</v>
      </c>
      <c r="F147" s="70"/>
      <c r="G147" s="117">
        <f t="shared" si="21"/>
        <v>-759050.2334096722</v>
      </c>
      <c r="H147" s="6">
        <f t="shared" si="27"/>
      </c>
      <c r="I147" s="29" t="str">
        <f aca="true" t="shared" si="28" ref="I147:I174">IF(Colm_Des&gt;Mora_Fin,"0",IF(A147="","0",IF(G147&lt;0,"0",((G147*E147)/30)*H147)))</f>
        <v>0</v>
      </c>
      <c r="J147" s="70"/>
      <c r="K147" s="140"/>
      <c r="L147" s="110">
        <f t="shared" si="22"/>
        <v>0</v>
      </c>
      <c r="M147" s="110">
        <f t="shared" si="25"/>
        <v>-759050.2334096722</v>
      </c>
    </row>
    <row r="148" spans="1:13" ht="12.75" hidden="1">
      <c r="A148" s="93">
        <f t="shared" si="23"/>
        <v>45536</v>
      </c>
      <c r="B148" s="93">
        <f aca="true" t="shared" si="29" ref="B148:B174">IF(AND(A148&gt;=Primar_Ca,A148&lt;=Catmar_Ca),DATE(YEAR(A148),MONTH(A148),14),IF(AND(A148&gt;=Nuevo_Int_Ca,A148&lt;=Sgn_Int_Ca),DATE(YEAR(A148),MONTH(A148),4),IF(A148=DATE(YEAR(Mora_Fin),MONTH(Mora_Fin),DAY(1)),DATE(YEAR(Mora_Fin),MONTH(Mora_Fin),DAY(Mora_Fin)),DATE(YEAR(A148),MONTH(A148)+1,))))</f>
        <v>45565</v>
      </c>
      <c r="C148" s="92">
        <f>VLOOKUP(A148,'intereses desde el 71'!$A:$XFD,IF(A148&lt;Nuevo_Int_Ca,3,IF(Comercial_Ca="x",3,IF(Consumo_Ca="x",4,IF(Microcréd_Ca="x",5)))))</f>
        <v>0.1895</v>
      </c>
      <c r="D148" s="92">
        <f aca="true" t="shared" si="30" ref="D148:D174">IF(A148="","",(POWER((1+(C148*D$18)),(1/12)))-1)</f>
        <v>0.021066743264638976</v>
      </c>
      <c r="E148" s="122">
        <f aca="true" t="shared" si="31" ref="E148:E174">IF(A148="","",IF(B148&lt;=G$7,MIN(D$9,D148),MIN(D$12,D148)))</f>
        <v>0.021066743264638976</v>
      </c>
      <c r="F148" s="70"/>
      <c r="G148" s="117">
        <f aca="true" t="shared" si="32" ref="G148:G174">MIN(G147,M147)+F148</f>
        <v>-759050.2334096722</v>
      </c>
      <c r="H148" s="6">
        <f t="shared" si="27"/>
      </c>
      <c r="I148" s="29" t="str">
        <f t="shared" si="28"/>
        <v>0</v>
      </c>
      <c r="J148" s="70"/>
      <c r="K148" s="140"/>
      <c r="L148" s="110">
        <f aca="true" t="shared" si="33" ref="L148:L174">IF(L147&lt;0,I148-J148,L147+I148-J148)</f>
        <v>0</v>
      </c>
      <c r="M148" s="110">
        <f t="shared" si="25"/>
        <v>-759050.2334096722</v>
      </c>
    </row>
    <row r="149" spans="1:13" ht="12.75" hidden="1">
      <c r="A149" s="93">
        <f aca="true" t="shared" si="34" ref="A149:A174">DATE(YEAR(B148),MONTH(B148),DAY(B148)+1)</f>
        <v>45566</v>
      </c>
      <c r="B149" s="93">
        <f t="shared" si="29"/>
        <v>45596</v>
      </c>
      <c r="C149" s="92">
        <f>VLOOKUP(A149,'intereses desde el 71'!$A:$XFD,IF(A149&lt;Nuevo_Int_Ca,3,IF(Comercial_Ca="x",3,IF(Consumo_Ca="x",4,IF(Microcréd_Ca="x",5)))))</f>
        <v>0.1895</v>
      </c>
      <c r="D149" s="92">
        <f t="shared" si="30"/>
        <v>0.021066743264638976</v>
      </c>
      <c r="E149" s="122">
        <f t="shared" si="31"/>
        <v>0.021066743264638976</v>
      </c>
      <c r="F149" s="70"/>
      <c r="G149" s="117">
        <f t="shared" si="32"/>
        <v>-759050.2334096722</v>
      </c>
      <c r="H149" s="6">
        <f t="shared" si="27"/>
      </c>
      <c r="I149" s="29" t="str">
        <f t="shared" si="28"/>
        <v>0</v>
      </c>
      <c r="J149" s="70"/>
      <c r="K149" s="140"/>
      <c r="L149" s="110">
        <f t="shared" si="33"/>
        <v>0</v>
      </c>
      <c r="M149" s="110">
        <f t="shared" si="25"/>
        <v>-759050.2334096722</v>
      </c>
    </row>
    <row r="150" spans="1:13" ht="12.75" hidden="1">
      <c r="A150" s="93">
        <f t="shared" si="34"/>
        <v>45597</v>
      </c>
      <c r="B150" s="93">
        <f t="shared" si="29"/>
        <v>45626</v>
      </c>
      <c r="C150" s="92">
        <f>VLOOKUP(A150,'intereses desde el 71'!$A:$XFD,IF(A150&lt;Nuevo_Int_Ca,3,IF(Comercial_Ca="x",3,IF(Consumo_Ca="x",4,IF(Microcréd_Ca="x",5)))))</f>
        <v>0.1895</v>
      </c>
      <c r="D150" s="92">
        <f t="shared" si="30"/>
        <v>0.021066743264638976</v>
      </c>
      <c r="E150" s="122">
        <f t="shared" si="31"/>
        <v>0.021066743264638976</v>
      </c>
      <c r="F150" s="70"/>
      <c r="G150" s="117">
        <f t="shared" si="32"/>
        <v>-759050.2334096722</v>
      </c>
      <c r="H150" s="6">
        <f t="shared" si="27"/>
      </c>
      <c r="I150" s="29" t="str">
        <f t="shared" si="28"/>
        <v>0</v>
      </c>
      <c r="J150" s="70"/>
      <c r="K150" s="140"/>
      <c r="L150" s="110">
        <f t="shared" si="33"/>
        <v>0</v>
      </c>
      <c r="M150" s="110">
        <f t="shared" si="25"/>
        <v>-759050.2334096722</v>
      </c>
    </row>
    <row r="151" spans="1:13" ht="12.75" hidden="1">
      <c r="A151" s="93">
        <f t="shared" si="34"/>
        <v>45627</v>
      </c>
      <c r="B151" s="93">
        <f t="shared" si="29"/>
        <v>45657</v>
      </c>
      <c r="C151" s="92">
        <f>VLOOKUP(A151,'intereses desde el 71'!$A:$XFD,IF(A151&lt;Nuevo_Int_Ca,3,IF(Comercial_Ca="x",3,IF(Consumo_Ca="x",4,IF(Microcréd_Ca="x",5)))))</f>
        <v>0.1895</v>
      </c>
      <c r="D151" s="92">
        <f t="shared" si="30"/>
        <v>0.021066743264638976</v>
      </c>
      <c r="E151" s="122">
        <f t="shared" si="31"/>
        <v>0.021066743264638976</v>
      </c>
      <c r="F151" s="70"/>
      <c r="G151" s="117">
        <f t="shared" si="32"/>
        <v>-759050.2334096722</v>
      </c>
      <c r="H151" s="6">
        <f t="shared" si="27"/>
      </c>
      <c r="I151" s="29" t="str">
        <f t="shared" si="28"/>
        <v>0</v>
      </c>
      <c r="J151" s="70"/>
      <c r="K151" s="140"/>
      <c r="L151" s="110">
        <f t="shared" si="33"/>
        <v>0</v>
      </c>
      <c r="M151" s="110">
        <f t="shared" si="25"/>
        <v>-759050.2334096722</v>
      </c>
    </row>
    <row r="152" spans="1:13" ht="12.75" hidden="1">
      <c r="A152" s="93">
        <f t="shared" si="34"/>
        <v>45658</v>
      </c>
      <c r="B152" s="93">
        <f t="shared" si="29"/>
        <v>45688</v>
      </c>
      <c r="C152" s="92">
        <f>VLOOKUP(A152,'intereses desde el 71'!$A:$XFD,IF(A152&lt;Nuevo_Int_Ca,3,IF(Comercial_Ca="x",3,IF(Consumo_Ca="x",4,IF(Microcréd_Ca="x",5)))))</f>
        <v>0.1895</v>
      </c>
      <c r="D152" s="92">
        <f t="shared" si="30"/>
        <v>0.021066743264638976</v>
      </c>
      <c r="E152" s="122">
        <f t="shared" si="31"/>
        <v>0.021066743264638976</v>
      </c>
      <c r="F152" s="70"/>
      <c r="G152" s="117">
        <f t="shared" si="32"/>
        <v>-759050.2334096722</v>
      </c>
      <c r="H152" s="6">
        <f t="shared" si="27"/>
      </c>
      <c r="I152" s="29" t="str">
        <f t="shared" si="28"/>
        <v>0</v>
      </c>
      <c r="J152" s="70"/>
      <c r="K152" s="140"/>
      <c r="L152" s="110">
        <f t="shared" si="33"/>
        <v>0</v>
      </c>
      <c r="M152" s="110">
        <f t="shared" si="25"/>
        <v>-759050.2334096722</v>
      </c>
    </row>
    <row r="153" spans="1:13" ht="12.75" hidden="1">
      <c r="A153" s="93">
        <f t="shared" si="34"/>
        <v>45689</v>
      </c>
      <c r="B153" s="93">
        <f t="shared" si="29"/>
        <v>45716</v>
      </c>
      <c r="C153" s="92">
        <f>VLOOKUP(A153,'intereses desde el 71'!$A:$XFD,IF(A153&lt;Nuevo_Int_Ca,3,IF(Comercial_Ca="x",3,IF(Consumo_Ca="x",4,IF(Microcréd_Ca="x",5)))))</f>
        <v>0.1895</v>
      </c>
      <c r="D153" s="92">
        <f t="shared" si="30"/>
        <v>0.021066743264638976</v>
      </c>
      <c r="E153" s="122">
        <f t="shared" si="31"/>
        <v>0.021066743264638976</v>
      </c>
      <c r="F153" s="70"/>
      <c r="G153" s="117">
        <f t="shared" si="32"/>
        <v>-759050.2334096722</v>
      </c>
      <c r="H153" s="6">
        <f t="shared" si="27"/>
      </c>
      <c r="I153" s="29" t="str">
        <f t="shared" si="28"/>
        <v>0</v>
      </c>
      <c r="J153" s="70"/>
      <c r="K153" s="140"/>
      <c r="L153" s="110">
        <f t="shared" si="33"/>
        <v>0</v>
      </c>
      <c r="M153" s="110">
        <f t="shared" si="25"/>
        <v>-759050.2334096722</v>
      </c>
    </row>
    <row r="154" spans="1:13" ht="12.75" hidden="1">
      <c r="A154" s="93">
        <f t="shared" si="34"/>
        <v>45717</v>
      </c>
      <c r="B154" s="93">
        <f t="shared" si="29"/>
        <v>45747</v>
      </c>
      <c r="C154" s="92">
        <f>VLOOKUP(A154,'intereses desde el 71'!$A:$XFD,IF(A154&lt;Nuevo_Int_Ca,3,IF(Comercial_Ca="x",3,IF(Consumo_Ca="x",4,IF(Microcréd_Ca="x",5)))))</f>
        <v>0.1895</v>
      </c>
      <c r="D154" s="92">
        <f t="shared" si="30"/>
        <v>0.021066743264638976</v>
      </c>
      <c r="E154" s="122">
        <f t="shared" si="31"/>
        <v>0.021066743264638976</v>
      </c>
      <c r="F154" s="70"/>
      <c r="G154" s="117">
        <f t="shared" si="32"/>
        <v>-759050.2334096722</v>
      </c>
      <c r="H154" s="6">
        <f t="shared" si="27"/>
      </c>
      <c r="I154" s="29" t="str">
        <f t="shared" si="28"/>
        <v>0</v>
      </c>
      <c r="J154" s="70"/>
      <c r="K154" s="140"/>
      <c r="L154" s="110">
        <f t="shared" si="33"/>
        <v>0</v>
      </c>
      <c r="M154" s="110">
        <f t="shared" si="25"/>
        <v>-759050.2334096722</v>
      </c>
    </row>
    <row r="155" spans="1:13" ht="12.75" hidden="1">
      <c r="A155" s="93">
        <f t="shared" si="34"/>
        <v>45748</v>
      </c>
      <c r="B155" s="93">
        <f t="shared" si="29"/>
        <v>45777</v>
      </c>
      <c r="C155" s="92">
        <f>VLOOKUP(A155,'intereses desde el 71'!$A:$XFD,IF(A155&lt;Nuevo_Int_Ca,3,IF(Comercial_Ca="x",3,IF(Consumo_Ca="x",4,IF(Microcréd_Ca="x",5)))))</f>
        <v>0.1895</v>
      </c>
      <c r="D155" s="92">
        <f t="shared" si="30"/>
        <v>0.021066743264638976</v>
      </c>
      <c r="E155" s="122">
        <f t="shared" si="31"/>
        <v>0.021066743264638976</v>
      </c>
      <c r="F155" s="70"/>
      <c r="G155" s="117">
        <f t="shared" si="32"/>
        <v>-759050.2334096722</v>
      </c>
      <c r="H155" s="6">
        <f t="shared" si="27"/>
      </c>
      <c r="I155" s="29" t="str">
        <f t="shared" si="28"/>
        <v>0</v>
      </c>
      <c r="J155" s="70"/>
      <c r="K155" s="140"/>
      <c r="L155" s="110">
        <f t="shared" si="33"/>
        <v>0</v>
      </c>
      <c r="M155" s="110">
        <f t="shared" si="25"/>
        <v>-759050.2334096722</v>
      </c>
    </row>
    <row r="156" spans="1:13" ht="12.75" hidden="1">
      <c r="A156" s="93">
        <f t="shared" si="34"/>
        <v>45778</v>
      </c>
      <c r="B156" s="93">
        <f t="shared" si="29"/>
        <v>45808</v>
      </c>
      <c r="C156" s="92">
        <f>VLOOKUP(A156,'intereses desde el 71'!$A:$XFD,IF(A156&lt;Nuevo_Int_Ca,3,IF(Comercial_Ca="x",3,IF(Consumo_Ca="x",4,IF(Microcréd_Ca="x",5)))))</f>
        <v>0.1895</v>
      </c>
      <c r="D156" s="92">
        <f t="shared" si="30"/>
        <v>0.021066743264638976</v>
      </c>
      <c r="E156" s="122">
        <f t="shared" si="31"/>
        <v>0.021066743264638976</v>
      </c>
      <c r="F156" s="70"/>
      <c r="G156" s="117">
        <f t="shared" si="32"/>
        <v>-759050.2334096722</v>
      </c>
      <c r="H156" s="6">
        <f t="shared" si="27"/>
      </c>
      <c r="I156" s="29" t="str">
        <f t="shared" si="28"/>
        <v>0</v>
      </c>
      <c r="J156" s="70"/>
      <c r="K156" s="140"/>
      <c r="L156" s="110">
        <f t="shared" si="33"/>
        <v>0</v>
      </c>
      <c r="M156" s="110">
        <f t="shared" si="25"/>
        <v>-759050.2334096722</v>
      </c>
    </row>
    <row r="157" spans="1:13" ht="12.75" hidden="1">
      <c r="A157" s="93">
        <f t="shared" si="34"/>
        <v>45809</v>
      </c>
      <c r="B157" s="93">
        <f t="shared" si="29"/>
        <v>45838</v>
      </c>
      <c r="C157" s="92">
        <f>VLOOKUP(A157,'intereses desde el 71'!$A:$XFD,IF(A157&lt;Nuevo_Int_Ca,3,IF(Comercial_Ca="x",3,IF(Consumo_Ca="x",4,IF(Microcréd_Ca="x",5)))))</f>
        <v>0.1895</v>
      </c>
      <c r="D157" s="92">
        <f t="shared" si="30"/>
        <v>0.021066743264638976</v>
      </c>
      <c r="E157" s="122">
        <f t="shared" si="31"/>
        <v>0.021066743264638976</v>
      </c>
      <c r="F157" s="70"/>
      <c r="G157" s="117">
        <f t="shared" si="32"/>
        <v>-759050.2334096722</v>
      </c>
      <c r="H157" s="6">
        <f t="shared" si="27"/>
      </c>
      <c r="I157" s="29" t="str">
        <f t="shared" si="28"/>
        <v>0</v>
      </c>
      <c r="J157" s="70"/>
      <c r="K157" s="140"/>
      <c r="L157" s="110">
        <f t="shared" si="33"/>
        <v>0</v>
      </c>
      <c r="M157" s="110">
        <f t="shared" si="25"/>
        <v>-759050.2334096722</v>
      </c>
    </row>
    <row r="158" spans="1:13" ht="12.75" hidden="1">
      <c r="A158" s="93">
        <f t="shared" si="34"/>
        <v>45839</v>
      </c>
      <c r="B158" s="93">
        <f t="shared" si="29"/>
        <v>45869</v>
      </c>
      <c r="C158" s="92">
        <f>VLOOKUP(A158,'intereses desde el 71'!$A:$XFD,IF(A158&lt;Nuevo_Int_Ca,3,IF(Comercial_Ca="x",3,IF(Consumo_Ca="x",4,IF(Microcréd_Ca="x",5)))))</f>
        <v>0.1895</v>
      </c>
      <c r="D158" s="92">
        <f t="shared" si="30"/>
        <v>0.021066743264638976</v>
      </c>
      <c r="E158" s="122">
        <f t="shared" si="31"/>
        <v>0.021066743264638976</v>
      </c>
      <c r="F158" s="70"/>
      <c r="G158" s="117">
        <f t="shared" si="32"/>
        <v>-759050.2334096722</v>
      </c>
      <c r="H158" s="6">
        <f t="shared" si="27"/>
      </c>
      <c r="I158" s="29" t="str">
        <f t="shared" si="28"/>
        <v>0</v>
      </c>
      <c r="J158" s="70"/>
      <c r="K158" s="140"/>
      <c r="L158" s="110">
        <f t="shared" si="33"/>
        <v>0</v>
      </c>
      <c r="M158" s="110">
        <f t="shared" si="25"/>
        <v>-759050.2334096722</v>
      </c>
    </row>
    <row r="159" spans="1:13" ht="12.75" hidden="1">
      <c r="A159" s="93">
        <f t="shared" si="34"/>
        <v>45870</v>
      </c>
      <c r="B159" s="93">
        <f t="shared" si="29"/>
        <v>45900</v>
      </c>
      <c r="C159" s="92">
        <f>VLOOKUP(A159,'intereses desde el 71'!$A:$XFD,IF(A159&lt;Nuevo_Int_Ca,3,IF(Comercial_Ca="x",3,IF(Consumo_Ca="x",4,IF(Microcréd_Ca="x",5)))))</f>
        <v>0.1895</v>
      </c>
      <c r="D159" s="92">
        <f t="shared" si="30"/>
        <v>0.021066743264638976</v>
      </c>
      <c r="E159" s="122">
        <f t="shared" si="31"/>
        <v>0.021066743264638976</v>
      </c>
      <c r="F159" s="70"/>
      <c r="G159" s="117">
        <f t="shared" si="32"/>
        <v>-759050.2334096722</v>
      </c>
      <c r="H159" s="6">
        <f t="shared" si="27"/>
      </c>
      <c r="I159" s="29" t="str">
        <f t="shared" si="28"/>
        <v>0</v>
      </c>
      <c r="J159" s="70"/>
      <c r="K159" s="140"/>
      <c r="L159" s="110">
        <f t="shared" si="33"/>
        <v>0</v>
      </c>
      <c r="M159" s="110">
        <f t="shared" si="25"/>
        <v>-759050.2334096722</v>
      </c>
    </row>
    <row r="160" spans="1:13" ht="12.75" hidden="1">
      <c r="A160" s="93">
        <f t="shared" si="34"/>
        <v>45901</v>
      </c>
      <c r="B160" s="93">
        <f t="shared" si="29"/>
        <v>45930</v>
      </c>
      <c r="C160" s="92">
        <f>VLOOKUP(A160,'intereses desde el 71'!$A:$XFD,IF(A160&lt;Nuevo_Int_Ca,3,IF(Comercial_Ca="x",3,IF(Consumo_Ca="x",4,IF(Microcréd_Ca="x",5)))))</f>
        <v>0.1895</v>
      </c>
      <c r="D160" s="92">
        <f t="shared" si="30"/>
        <v>0.021066743264638976</v>
      </c>
      <c r="E160" s="122">
        <f t="shared" si="31"/>
        <v>0.021066743264638976</v>
      </c>
      <c r="F160" s="70"/>
      <c r="G160" s="117">
        <f t="shared" si="32"/>
        <v>-759050.2334096722</v>
      </c>
      <c r="H160" s="6">
        <f t="shared" si="27"/>
      </c>
      <c r="I160" s="29" t="str">
        <f t="shared" si="28"/>
        <v>0</v>
      </c>
      <c r="J160" s="70"/>
      <c r="K160" s="140"/>
      <c r="L160" s="110">
        <f t="shared" si="33"/>
        <v>0</v>
      </c>
      <c r="M160" s="110">
        <f t="shared" si="25"/>
        <v>-759050.2334096722</v>
      </c>
    </row>
    <row r="161" spans="1:13" ht="12.75" hidden="1">
      <c r="A161" s="93">
        <f t="shared" si="34"/>
        <v>45931</v>
      </c>
      <c r="B161" s="93">
        <f t="shared" si="29"/>
        <v>45961</v>
      </c>
      <c r="C161" s="92">
        <f>VLOOKUP(A161,'intereses desde el 71'!$A:$XFD,IF(A161&lt;Nuevo_Int_Ca,3,IF(Comercial_Ca="x",3,IF(Consumo_Ca="x",4,IF(Microcréd_Ca="x",5)))))</f>
        <v>0.1895</v>
      </c>
      <c r="D161" s="92">
        <f t="shared" si="30"/>
        <v>0.021066743264638976</v>
      </c>
      <c r="E161" s="122">
        <f t="shared" si="31"/>
        <v>0.021066743264638976</v>
      </c>
      <c r="F161" s="70"/>
      <c r="G161" s="117">
        <f t="shared" si="32"/>
        <v>-759050.2334096722</v>
      </c>
      <c r="H161" s="6">
        <f t="shared" si="27"/>
      </c>
      <c r="I161" s="29" t="str">
        <f t="shared" si="28"/>
        <v>0</v>
      </c>
      <c r="J161" s="70"/>
      <c r="K161" s="140"/>
      <c r="L161" s="110">
        <f t="shared" si="33"/>
        <v>0</v>
      </c>
      <c r="M161" s="110">
        <f t="shared" si="25"/>
        <v>-759050.2334096722</v>
      </c>
    </row>
    <row r="162" spans="1:13" ht="12.75" hidden="1">
      <c r="A162" s="93">
        <f t="shared" si="34"/>
        <v>45962</v>
      </c>
      <c r="B162" s="93">
        <f t="shared" si="29"/>
        <v>45991</v>
      </c>
      <c r="C162" s="92">
        <f>VLOOKUP(A162,'intereses desde el 71'!$A:$XFD,IF(A162&lt;Nuevo_Int_Ca,3,IF(Comercial_Ca="x",3,IF(Consumo_Ca="x",4,IF(Microcréd_Ca="x",5)))))</f>
        <v>0.1895</v>
      </c>
      <c r="D162" s="92">
        <f t="shared" si="30"/>
        <v>0.021066743264638976</v>
      </c>
      <c r="E162" s="122">
        <f t="shared" si="31"/>
        <v>0.021066743264638976</v>
      </c>
      <c r="F162" s="70"/>
      <c r="G162" s="117">
        <f t="shared" si="32"/>
        <v>-759050.2334096722</v>
      </c>
      <c r="H162" s="6">
        <f t="shared" si="27"/>
      </c>
      <c r="I162" s="29" t="str">
        <f t="shared" si="28"/>
        <v>0</v>
      </c>
      <c r="J162" s="70"/>
      <c r="K162" s="140"/>
      <c r="L162" s="110">
        <f t="shared" si="33"/>
        <v>0</v>
      </c>
      <c r="M162" s="110">
        <f t="shared" si="25"/>
        <v>-759050.2334096722</v>
      </c>
    </row>
    <row r="163" spans="1:13" ht="12.75" hidden="1">
      <c r="A163" s="93">
        <f t="shared" si="34"/>
        <v>45992</v>
      </c>
      <c r="B163" s="93">
        <f t="shared" si="29"/>
        <v>46022</v>
      </c>
      <c r="C163" s="92">
        <f>VLOOKUP(A163,'intereses desde el 71'!$A:$XFD,IF(A163&lt;Nuevo_Int_Ca,3,IF(Comercial_Ca="x",3,IF(Consumo_Ca="x",4,IF(Microcréd_Ca="x",5)))))</f>
        <v>0.1895</v>
      </c>
      <c r="D163" s="92">
        <f t="shared" si="30"/>
        <v>0.021066743264638976</v>
      </c>
      <c r="E163" s="122">
        <f t="shared" si="31"/>
        <v>0.021066743264638976</v>
      </c>
      <c r="F163" s="70"/>
      <c r="G163" s="117">
        <f t="shared" si="32"/>
        <v>-759050.2334096722</v>
      </c>
      <c r="H163" s="6">
        <f t="shared" si="27"/>
      </c>
      <c r="I163" s="29" t="str">
        <f t="shared" si="28"/>
        <v>0</v>
      </c>
      <c r="J163" s="70"/>
      <c r="K163" s="140"/>
      <c r="L163" s="110">
        <f t="shared" si="33"/>
        <v>0</v>
      </c>
      <c r="M163" s="110">
        <f t="shared" si="25"/>
        <v>-759050.2334096722</v>
      </c>
    </row>
    <row r="164" spans="1:13" ht="12.75" hidden="1">
      <c r="A164" s="93">
        <f t="shared" si="34"/>
        <v>46023</v>
      </c>
      <c r="B164" s="93">
        <f t="shared" si="29"/>
        <v>46053</v>
      </c>
      <c r="C164" s="92">
        <f>VLOOKUP(A164,'intereses desde el 71'!$A:$XFD,IF(A164&lt;Nuevo_Int_Ca,3,IF(Comercial_Ca="x",3,IF(Consumo_Ca="x",4,IF(Microcréd_Ca="x",5)))))</f>
        <v>0.1895</v>
      </c>
      <c r="D164" s="92">
        <f t="shared" si="30"/>
        <v>0.021066743264638976</v>
      </c>
      <c r="E164" s="122">
        <f t="shared" si="31"/>
        <v>0.021066743264638976</v>
      </c>
      <c r="F164" s="70"/>
      <c r="G164" s="117">
        <f t="shared" si="32"/>
        <v>-759050.2334096722</v>
      </c>
      <c r="H164" s="6">
        <f t="shared" si="27"/>
      </c>
      <c r="I164" s="29" t="str">
        <f t="shared" si="28"/>
        <v>0</v>
      </c>
      <c r="J164" s="70"/>
      <c r="K164" s="140"/>
      <c r="L164" s="110">
        <f t="shared" si="33"/>
        <v>0</v>
      </c>
      <c r="M164" s="110">
        <f t="shared" si="25"/>
        <v>-759050.2334096722</v>
      </c>
    </row>
    <row r="165" spans="1:13" ht="12.75" hidden="1">
      <c r="A165" s="93">
        <f t="shared" si="34"/>
        <v>46054</v>
      </c>
      <c r="B165" s="93">
        <f t="shared" si="29"/>
        <v>46081</v>
      </c>
      <c r="C165" s="92">
        <f>VLOOKUP(A165,'intereses desde el 71'!$A:$XFD,IF(A165&lt;Nuevo_Int_Ca,3,IF(Comercial_Ca="x",3,IF(Consumo_Ca="x",4,IF(Microcréd_Ca="x",5)))))</f>
        <v>0.1895</v>
      </c>
      <c r="D165" s="92">
        <f t="shared" si="30"/>
        <v>0.021066743264638976</v>
      </c>
      <c r="E165" s="122">
        <f t="shared" si="31"/>
        <v>0.021066743264638976</v>
      </c>
      <c r="F165" s="70"/>
      <c r="G165" s="117">
        <f t="shared" si="32"/>
        <v>-759050.2334096722</v>
      </c>
      <c r="H165" s="6">
        <f t="shared" si="27"/>
      </c>
      <c r="I165" s="29" t="str">
        <f t="shared" si="28"/>
        <v>0</v>
      </c>
      <c r="J165" s="70"/>
      <c r="K165" s="140"/>
      <c r="L165" s="110">
        <f t="shared" si="33"/>
        <v>0</v>
      </c>
      <c r="M165" s="110">
        <f t="shared" si="25"/>
        <v>-759050.2334096722</v>
      </c>
    </row>
    <row r="166" spans="1:13" ht="12.75" hidden="1">
      <c r="A166" s="93">
        <f t="shared" si="34"/>
        <v>46082</v>
      </c>
      <c r="B166" s="93">
        <f t="shared" si="29"/>
        <v>46112</v>
      </c>
      <c r="C166" s="92">
        <f>VLOOKUP(A166,'intereses desde el 71'!$A:$XFD,IF(A166&lt;Nuevo_Int_Ca,3,IF(Comercial_Ca="x",3,IF(Consumo_Ca="x",4,IF(Microcréd_Ca="x",5)))))</f>
        <v>0.1895</v>
      </c>
      <c r="D166" s="92">
        <f t="shared" si="30"/>
        <v>0.021066743264638976</v>
      </c>
      <c r="E166" s="122">
        <f t="shared" si="31"/>
        <v>0.021066743264638976</v>
      </c>
      <c r="F166" s="70"/>
      <c r="G166" s="117">
        <f t="shared" si="32"/>
        <v>-759050.2334096722</v>
      </c>
      <c r="H166" s="6">
        <f t="shared" si="27"/>
      </c>
      <c r="I166" s="29" t="str">
        <f t="shared" si="28"/>
        <v>0</v>
      </c>
      <c r="J166" s="70"/>
      <c r="K166" s="140"/>
      <c r="L166" s="110">
        <f t="shared" si="33"/>
        <v>0</v>
      </c>
      <c r="M166" s="110">
        <f t="shared" si="25"/>
        <v>-759050.2334096722</v>
      </c>
    </row>
    <row r="167" spans="1:13" ht="12.75" hidden="1">
      <c r="A167" s="93">
        <f t="shared" si="34"/>
        <v>46113</v>
      </c>
      <c r="B167" s="93">
        <f t="shared" si="29"/>
        <v>46142</v>
      </c>
      <c r="C167" s="92">
        <f>VLOOKUP(A167,'intereses desde el 71'!$A:$XFD,IF(A167&lt;Nuevo_Int_Ca,3,IF(Comercial_Ca="x",3,IF(Consumo_Ca="x",4,IF(Microcréd_Ca="x",5)))))</f>
        <v>0.1895</v>
      </c>
      <c r="D167" s="92">
        <f t="shared" si="30"/>
        <v>0.021066743264638976</v>
      </c>
      <c r="E167" s="122">
        <f t="shared" si="31"/>
        <v>0.021066743264638976</v>
      </c>
      <c r="F167" s="70"/>
      <c r="G167" s="117">
        <f t="shared" si="32"/>
        <v>-759050.2334096722</v>
      </c>
      <c r="H167" s="6">
        <f t="shared" si="27"/>
      </c>
      <c r="I167" s="29" t="str">
        <f t="shared" si="28"/>
        <v>0</v>
      </c>
      <c r="J167" s="70"/>
      <c r="K167" s="140"/>
      <c r="L167" s="110">
        <f t="shared" si="33"/>
        <v>0</v>
      </c>
      <c r="M167" s="110">
        <f t="shared" si="25"/>
        <v>-759050.2334096722</v>
      </c>
    </row>
    <row r="168" spans="1:13" ht="12.75" hidden="1">
      <c r="A168" s="93">
        <f t="shared" si="34"/>
        <v>46143</v>
      </c>
      <c r="B168" s="93">
        <f t="shared" si="29"/>
        <v>46173</v>
      </c>
      <c r="C168" s="92">
        <f>VLOOKUP(A168,'intereses desde el 71'!$A:$XFD,IF(A168&lt;Nuevo_Int_Ca,3,IF(Comercial_Ca="x",3,IF(Consumo_Ca="x",4,IF(Microcréd_Ca="x",5)))))</f>
        <v>0.1895</v>
      </c>
      <c r="D168" s="92">
        <f t="shared" si="30"/>
        <v>0.021066743264638976</v>
      </c>
      <c r="E168" s="122">
        <f t="shared" si="31"/>
        <v>0.021066743264638976</v>
      </c>
      <c r="F168" s="70"/>
      <c r="G168" s="117">
        <f t="shared" si="32"/>
        <v>-759050.2334096722</v>
      </c>
      <c r="H168" s="6">
        <f t="shared" si="27"/>
      </c>
      <c r="I168" s="29" t="str">
        <f t="shared" si="28"/>
        <v>0</v>
      </c>
      <c r="J168" s="70"/>
      <c r="K168" s="140"/>
      <c r="L168" s="110">
        <f t="shared" si="33"/>
        <v>0</v>
      </c>
      <c r="M168" s="110">
        <f t="shared" si="25"/>
        <v>-759050.2334096722</v>
      </c>
    </row>
    <row r="169" spans="1:13" ht="12.75" hidden="1">
      <c r="A169" s="93">
        <f t="shared" si="34"/>
        <v>46174</v>
      </c>
      <c r="B169" s="93">
        <f t="shared" si="29"/>
        <v>46203</v>
      </c>
      <c r="C169" s="70"/>
      <c r="D169" s="92">
        <f t="shared" si="30"/>
        <v>0</v>
      </c>
      <c r="E169" s="122">
        <f t="shared" si="31"/>
        <v>0</v>
      </c>
      <c r="F169" s="70"/>
      <c r="G169" s="117">
        <f t="shared" si="32"/>
        <v>-759050.2334096722</v>
      </c>
      <c r="H169" s="6">
        <f t="shared" si="27"/>
      </c>
      <c r="I169" s="29" t="str">
        <f t="shared" si="28"/>
        <v>0</v>
      </c>
      <c r="J169" s="70"/>
      <c r="K169" s="140"/>
      <c r="L169" s="110">
        <f t="shared" si="33"/>
        <v>0</v>
      </c>
      <c r="M169" s="110">
        <f t="shared" si="25"/>
        <v>-759050.2334096722</v>
      </c>
    </row>
    <row r="170" spans="1:13" ht="12.75" hidden="1">
      <c r="A170" s="93">
        <f t="shared" si="34"/>
        <v>46204</v>
      </c>
      <c r="B170" s="93">
        <f t="shared" si="29"/>
        <v>46234</v>
      </c>
      <c r="C170" s="92">
        <f>VLOOKUP(A170,'intereses desde el 71'!$A:$XFD,IF(A170&lt;Nuevo_Int_Ca,3,IF(Comercial_Ca="x",3,IF(Consumo_Ca="x",4,IF(Microcréd_Ca="x",5)))))</f>
        <v>0.1895</v>
      </c>
      <c r="D170" s="92">
        <f t="shared" si="30"/>
        <v>0.021066743264638976</v>
      </c>
      <c r="E170" s="122">
        <f t="shared" si="31"/>
        <v>0.021066743264638976</v>
      </c>
      <c r="F170" s="70"/>
      <c r="G170" s="117">
        <f t="shared" si="32"/>
        <v>-759050.2334096722</v>
      </c>
      <c r="H170" s="6">
        <f t="shared" si="27"/>
      </c>
      <c r="I170" s="29" t="str">
        <f t="shared" si="28"/>
        <v>0</v>
      </c>
      <c r="J170" s="70"/>
      <c r="K170" s="140"/>
      <c r="L170" s="110">
        <f t="shared" si="33"/>
        <v>0</v>
      </c>
      <c r="M170" s="110">
        <f t="shared" si="25"/>
        <v>-759050.2334096722</v>
      </c>
    </row>
    <row r="171" spans="1:13" ht="12.75" hidden="1">
      <c r="A171" s="93">
        <f t="shared" si="34"/>
        <v>46235</v>
      </c>
      <c r="B171" s="93">
        <f t="shared" si="29"/>
        <v>46265</v>
      </c>
      <c r="C171" s="92">
        <f>VLOOKUP(A171,'intereses desde el 71'!$A:$XFD,IF(A171&lt;Nuevo_Int_Ca,3,IF(Comercial_Ca="x",3,IF(Consumo_Ca="x",4,IF(Microcréd_Ca="x",5)))))</f>
        <v>0.1895</v>
      </c>
      <c r="D171" s="92">
        <f t="shared" si="30"/>
        <v>0.021066743264638976</v>
      </c>
      <c r="E171" s="122">
        <f t="shared" si="31"/>
        <v>0.021066743264638976</v>
      </c>
      <c r="F171" s="70"/>
      <c r="G171" s="117">
        <f t="shared" si="32"/>
        <v>-759050.2334096722</v>
      </c>
      <c r="H171" s="6">
        <f t="shared" si="27"/>
      </c>
      <c r="I171" s="29" t="str">
        <f t="shared" si="28"/>
        <v>0</v>
      </c>
      <c r="J171" s="70"/>
      <c r="K171" s="140"/>
      <c r="L171" s="110">
        <f t="shared" si="33"/>
        <v>0</v>
      </c>
      <c r="M171" s="110">
        <f t="shared" si="25"/>
        <v>-759050.2334096722</v>
      </c>
    </row>
    <row r="172" spans="1:13" ht="12.75" hidden="1">
      <c r="A172" s="93">
        <f t="shared" si="34"/>
        <v>46266</v>
      </c>
      <c r="B172" s="93">
        <f t="shared" si="29"/>
        <v>46295</v>
      </c>
      <c r="C172" s="92">
        <f>VLOOKUP(A172,'intereses desde el 71'!$A:$XFD,IF(A172&lt;Nuevo_Int_Ca,3,IF(Comercial_Ca="x",3,IF(Consumo_Ca="x",4,IF(Microcréd_Ca="x",5)))))</f>
        <v>0.1895</v>
      </c>
      <c r="D172" s="92">
        <f t="shared" si="30"/>
        <v>0.021066743264638976</v>
      </c>
      <c r="E172" s="122">
        <f t="shared" si="31"/>
        <v>0.021066743264638976</v>
      </c>
      <c r="F172" s="70"/>
      <c r="G172" s="117">
        <f t="shared" si="32"/>
        <v>-759050.2334096722</v>
      </c>
      <c r="H172" s="6">
        <f t="shared" si="27"/>
      </c>
      <c r="I172" s="29" t="str">
        <f t="shared" si="28"/>
        <v>0</v>
      </c>
      <c r="J172" s="70"/>
      <c r="K172" s="140"/>
      <c r="L172" s="110">
        <f t="shared" si="33"/>
        <v>0</v>
      </c>
      <c r="M172" s="110">
        <f t="shared" si="25"/>
        <v>-759050.2334096722</v>
      </c>
    </row>
    <row r="173" spans="1:13" ht="12.75" hidden="1">
      <c r="A173" s="93">
        <f t="shared" si="34"/>
        <v>46296</v>
      </c>
      <c r="B173" s="93">
        <f t="shared" si="29"/>
        <v>46326</v>
      </c>
      <c r="C173" s="92">
        <f>VLOOKUP(A173,'intereses desde el 71'!$A:$XFD,IF(A173&lt;Nuevo_Int_Ca,3,IF(Comercial_Ca="x",3,IF(Consumo_Ca="x",4,IF(Microcréd_Ca="x",5)))))</f>
        <v>0.1895</v>
      </c>
      <c r="D173" s="92">
        <f t="shared" si="30"/>
        <v>0.021066743264638976</v>
      </c>
      <c r="E173" s="122">
        <f t="shared" si="31"/>
        <v>0.021066743264638976</v>
      </c>
      <c r="F173" s="70"/>
      <c r="G173" s="117">
        <f t="shared" si="32"/>
        <v>-759050.2334096722</v>
      </c>
      <c r="H173" s="6">
        <f t="shared" si="27"/>
      </c>
      <c r="I173" s="29" t="str">
        <f t="shared" si="28"/>
        <v>0</v>
      </c>
      <c r="J173" s="70"/>
      <c r="K173" s="140"/>
      <c r="L173" s="110">
        <f t="shared" si="33"/>
        <v>0</v>
      </c>
      <c r="M173" s="110">
        <f t="shared" si="25"/>
        <v>-759050.2334096722</v>
      </c>
    </row>
    <row r="174" spans="1:13" ht="17.25" customHeight="1" hidden="1">
      <c r="A174" s="93">
        <f t="shared" si="34"/>
        <v>46327</v>
      </c>
      <c r="B174" s="93">
        <f t="shared" si="29"/>
        <v>46356</v>
      </c>
      <c r="C174" s="92">
        <f>VLOOKUP(A174,'intereses desde el 71'!$A:$XFD,IF(A174&lt;Nuevo_Int_Ca,3,IF(Comercial_Ca="x",3,IF(Consumo_Ca="x",4,IF(Microcréd_Ca="x",5)))))</f>
        <v>0.1895</v>
      </c>
      <c r="D174" s="92">
        <f t="shared" si="30"/>
        <v>0.021066743264638976</v>
      </c>
      <c r="E174" s="122">
        <f t="shared" si="31"/>
        <v>0.021066743264638976</v>
      </c>
      <c r="F174" s="70"/>
      <c r="G174" s="117">
        <f t="shared" si="32"/>
        <v>-759050.2334096722</v>
      </c>
      <c r="H174" s="6">
        <f t="shared" si="27"/>
      </c>
      <c r="I174" s="29" t="str">
        <f t="shared" si="28"/>
        <v>0</v>
      </c>
      <c r="J174" s="70"/>
      <c r="K174" s="140"/>
      <c r="L174" s="110">
        <f t="shared" si="33"/>
        <v>0</v>
      </c>
      <c r="M174" s="110">
        <f t="shared" si="25"/>
        <v>-759050.2334096722</v>
      </c>
    </row>
    <row r="175" spans="1:13" ht="12.75">
      <c r="A175" s="100"/>
      <c r="B175" s="100"/>
      <c r="C175" s="100"/>
      <c r="D175" s="100"/>
      <c r="E175" s="100"/>
      <c r="F175" s="100"/>
      <c r="G175" s="199" t="s">
        <v>70</v>
      </c>
      <c r="H175" s="197">
        <f>SUM(días_Ca)</f>
        <v>2270</v>
      </c>
      <c r="I175" s="198">
        <f>SUM(I18:I174)</f>
        <v>2477176.6065903283</v>
      </c>
      <c r="J175" s="111">
        <f>SUM(J19:J174)</f>
        <v>5236226.84</v>
      </c>
      <c r="K175" s="141"/>
      <c r="L175" s="200">
        <f>+L174</f>
        <v>0</v>
      </c>
      <c r="M175" s="200">
        <f>+M174</f>
        <v>-759050.2334096722</v>
      </c>
    </row>
    <row r="176" spans="1:13" ht="11.25" customHeight="1">
      <c r="A176" s="216"/>
      <c r="B176" s="217"/>
      <c r="C176" s="217"/>
      <c r="D176" s="217"/>
      <c r="H176" s="112"/>
      <c r="I176" s="201" t="s">
        <v>74</v>
      </c>
      <c r="J176" s="202" t="s">
        <v>72</v>
      </c>
      <c r="L176" s="202" t="s">
        <v>75</v>
      </c>
      <c r="M176" s="201" t="s">
        <v>73</v>
      </c>
    </row>
    <row r="177" spans="1:13" ht="12.75" hidden="1">
      <c r="A177" s="7"/>
      <c r="B177" s="7"/>
      <c r="C177" s="7"/>
      <c r="D177" s="7"/>
      <c r="E177" s="57"/>
      <c r="F177" s="80"/>
      <c r="G177" s="81"/>
      <c r="H177" s="114"/>
      <c r="I177" s="114"/>
      <c r="J177" s="112"/>
      <c r="K177" s="137"/>
      <c r="L177" s="113"/>
      <c r="M177" s="113"/>
    </row>
    <row r="178" spans="1:13" ht="12.75">
      <c r="A178" s="7" t="s">
        <v>80</v>
      </c>
      <c r="B178" s="7"/>
      <c r="C178" s="7"/>
      <c r="D178" s="5"/>
      <c r="E178" s="56"/>
      <c r="F178" s="80"/>
      <c r="H178" s="112"/>
      <c r="I178" s="115"/>
      <c r="J178" s="218" t="s">
        <v>18</v>
      </c>
      <c r="K178" s="218"/>
      <c r="L178" s="218"/>
      <c r="M178" s="126">
        <f>M175-L175</f>
        <v>-759050.2334096722</v>
      </c>
    </row>
    <row r="179" spans="1:13" ht="12.75">
      <c r="A179" s="216" t="s">
        <v>81</v>
      </c>
      <c r="B179" s="217"/>
      <c r="C179" s="217"/>
      <c r="D179" s="217"/>
      <c r="E179" s="56"/>
      <c r="F179" s="80"/>
      <c r="H179" s="112"/>
      <c r="I179" s="115"/>
      <c r="J179" s="224" t="s">
        <v>76</v>
      </c>
      <c r="K179" s="224"/>
      <c r="L179" s="224"/>
      <c r="M179" s="126"/>
    </row>
    <row r="180" spans="1:13" ht="12.75">
      <c r="A180" s="7"/>
      <c r="H180" s="112"/>
      <c r="I180" s="204"/>
      <c r="J180" s="205" t="s">
        <v>71</v>
      </c>
      <c r="K180" s="205"/>
      <c r="L180" s="205"/>
      <c r="M180" s="126">
        <f>(M175-M178)+M179</f>
        <v>0</v>
      </c>
    </row>
    <row r="181" spans="8:13" ht="15">
      <c r="H181" s="112"/>
      <c r="I181" s="218" t="str">
        <f>IF(M181&lt;0,"SALDO EN FAVOR DEL DEMANDADO",IF(M180=0,"TOTAL SALDO DE CAPITAL ADEUDADO","TOTAL CAPITAL MÁS INTERESES ADEUDADOS"))</f>
        <v>SALDO EN FAVOR DEL DEMANDADO</v>
      </c>
      <c r="J181" s="218"/>
      <c r="K181" s="218"/>
      <c r="L181" s="220"/>
      <c r="M181" s="116">
        <f>SUM(M178:M180)</f>
        <v>-759050.2334096722</v>
      </c>
    </row>
    <row r="182" spans="1:13" ht="16.5">
      <c r="A182" s="38"/>
      <c r="B182" s="227"/>
      <c r="C182" s="227"/>
      <c r="D182" s="227"/>
      <c r="E182" s="227"/>
      <c r="F182" s="227"/>
      <c r="G182" s="38"/>
      <c r="H182" s="38"/>
      <c r="I182" s="39"/>
      <c r="L182" s="71" t="s">
        <v>77</v>
      </c>
      <c r="M182" s="107">
        <v>297100</v>
      </c>
    </row>
    <row r="183" spans="2:13" ht="16.5">
      <c r="B183" s="228"/>
      <c r="C183" s="228"/>
      <c r="D183" s="38"/>
      <c r="E183" s="59"/>
      <c r="F183" s="83"/>
      <c r="L183" s="71" t="s">
        <v>83</v>
      </c>
      <c r="M183" s="203">
        <f>SUM(M181,M182)</f>
        <v>-461950.23340967216</v>
      </c>
    </row>
    <row r="184" spans="1:6" ht="16.5">
      <c r="A184" s="38"/>
      <c r="B184" s="38"/>
      <c r="C184" s="38"/>
      <c r="D184" s="38"/>
      <c r="E184" s="59"/>
      <c r="F184" s="83"/>
    </row>
    <row r="185" spans="1:13" ht="16.5">
      <c r="A185" s="38"/>
      <c r="B185" s="38"/>
      <c r="C185" s="38"/>
      <c r="D185" s="38"/>
      <c r="E185" s="59"/>
      <c r="F185" s="83"/>
      <c r="M185" s="107" t="s">
        <v>79</v>
      </c>
    </row>
    <row r="186" spans="2:12" ht="15" customHeight="1">
      <c r="B186" s="215"/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</row>
    <row r="187" spans="2:12" ht="15" customHeight="1">
      <c r="B187" s="212"/>
      <c r="C187" s="212"/>
      <c r="D187" s="212"/>
      <c r="E187" s="212"/>
      <c r="F187" s="212"/>
      <c r="G187" s="212"/>
      <c r="H187" s="212"/>
      <c r="I187" s="212"/>
      <c r="J187" s="212"/>
      <c r="K187" s="212"/>
      <c r="L187" s="212"/>
    </row>
    <row r="188" spans="2:12" ht="16.5">
      <c r="B188" s="40"/>
      <c r="C188" s="40"/>
      <c r="D188" s="40"/>
      <c r="E188" s="60"/>
      <c r="F188" s="38"/>
      <c r="G188" s="38"/>
      <c r="H188" s="38"/>
      <c r="I188" s="38"/>
      <c r="J188"/>
      <c r="K188" s="137"/>
      <c r="L188" s="107"/>
    </row>
    <row r="189" spans="2:13" s="27" customFormat="1" ht="32.25" customHeight="1">
      <c r="B189" s="219"/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109"/>
    </row>
    <row r="190" spans="2:12" ht="16.5">
      <c r="B190" s="41"/>
      <c r="C190" s="41"/>
      <c r="D190" s="41"/>
      <c r="E190" s="61"/>
      <c r="F190" s="38"/>
      <c r="G190" s="38"/>
      <c r="H190" s="38"/>
      <c r="I190" s="38"/>
      <c r="J190"/>
      <c r="K190" s="137"/>
      <c r="L190" s="107"/>
    </row>
    <row r="191" spans="2:12" ht="16.5">
      <c r="B191" s="47"/>
      <c r="C191" s="42"/>
      <c r="D191" s="40"/>
      <c r="E191" s="60"/>
      <c r="F191" s="38"/>
      <c r="G191" s="38"/>
      <c r="H191" s="38"/>
      <c r="I191" s="38"/>
      <c r="J191"/>
      <c r="K191" s="137"/>
      <c r="L191" s="107"/>
    </row>
    <row r="192" spans="2:12" ht="16.5">
      <c r="B192" s="215"/>
      <c r="C192" s="215"/>
      <c r="D192" s="215"/>
      <c r="E192" s="215"/>
      <c r="F192" s="215"/>
      <c r="G192" s="215"/>
      <c r="H192" s="215"/>
      <c r="I192" s="215"/>
      <c r="J192" s="215"/>
      <c r="K192" s="215"/>
      <c r="L192" s="215"/>
    </row>
    <row r="193" spans="2:12" ht="16.5">
      <c r="B193" s="48"/>
      <c r="C193" s="49"/>
      <c r="D193" s="50"/>
      <c r="E193" s="62"/>
      <c r="F193" s="51"/>
      <c r="G193" s="51"/>
      <c r="H193" s="51"/>
      <c r="I193" s="51"/>
      <c r="J193"/>
      <c r="K193" s="137"/>
      <c r="L193" s="107"/>
    </row>
    <row r="194" spans="2:12" ht="16.5">
      <c r="B194" s="48"/>
      <c r="C194" s="49"/>
      <c r="D194" s="50"/>
      <c r="E194" s="62"/>
      <c r="F194" s="51"/>
      <c r="G194" s="51"/>
      <c r="H194" s="51"/>
      <c r="I194" s="51"/>
      <c r="J194"/>
      <c r="K194" s="137"/>
      <c r="L194" s="107"/>
    </row>
    <row r="195" spans="2:12" ht="16.5">
      <c r="B195" s="48"/>
      <c r="C195" s="49"/>
      <c r="D195" s="50"/>
      <c r="E195" s="62"/>
      <c r="F195" s="51"/>
      <c r="G195" s="51"/>
      <c r="H195" s="51"/>
      <c r="I195" s="51"/>
      <c r="J195"/>
      <c r="K195" s="137"/>
      <c r="L195" s="107"/>
    </row>
    <row r="196" spans="2:12" ht="16.5">
      <c r="B196" s="215"/>
      <c r="C196" s="215"/>
      <c r="D196" s="215"/>
      <c r="E196" s="215"/>
      <c r="F196" s="215"/>
      <c r="G196" s="215"/>
      <c r="H196" s="215"/>
      <c r="I196" s="215"/>
      <c r="J196" s="215"/>
      <c r="K196" s="215"/>
      <c r="L196" s="215"/>
    </row>
    <row r="197" spans="2:12" ht="16.5">
      <c r="B197" s="215"/>
      <c r="C197" s="215"/>
      <c r="D197" s="215"/>
      <c r="E197" s="215"/>
      <c r="F197" s="215"/>
      <c r="G197" s="215"/>
      <c r="H197" s="215"/>
      <c r="I197" s="215"/>
      <c r="J197" s="215"/>
      <c r="K197" s="215"/>
      <c r="L197" s="215"/>
    </row>
  </sheetData>
  <sheetProtection sheet="1" formatCells="0" formatColumns="0" formatRows="0" insertColumns="0" insertRows="0" insertHyperlinks="0" deleteColumns="0" deleteRows="0" sort="0" autoFilter="0" pivotTables="0"/>
  <mergeCells count="29">
    <mergeCell ref="B197:L197"/>
    <mergeCell ref="B196:L196"/>
    <mergeCell ref="B187:L187"/>
    <mergeCell ref="B186:L186"/>
    <mergeCell ref="J179:L179"/>
    <mergeCell ref="A11:C11"/>
    <mergeCell ref="J17:K17"/>
    <mergeCell ref="B182:F182"/>
    <mergeCell ref="B183:C183"/>
    <mergeCell ref="A13:E13"/>
    <mergeCell ref="B192:L192"/>
    <mergeCell ref="A179:D179"/>
    <mergeCell ref="J178:L178"/>
    <mergeCell ref="A7:C7"/>
    <mergeCell ref="A8:C8"/>
    <mergeCell ref="B189:L189"/>
    <mergeCell ref="I181:L181"/>
    <mergeCell ref="A176:D176"/>
    <mergeCell ref="A14:E14"/>
    <mergeCell ref="A12:C12"/>
    <mergeCell ref="A4:G4"/>
    <mergeCell ref="A5:M5"/>
    <mergeCell ref="A9:C9"/>
    <mergeCell ref="A16:B16"/>
    <mergeCell ref="A1:M1"/>
    <mergeCell ref="A2:M2"/>
    <mergeCell ref="A3:M3"/>
    <mergeCell ref="G16:M16"/>
    <mergeCell ref="A10:C10"/>
  </mergeCells>
  <conditionalFormatting sqref="A19:F26 A31:F73 A27:B30 D27:F30 A79:F174 A74:B78 D74:F78 H19:K174">
    <cfRule type="expression" priority="10" dxfId="18" stopIfTrue="1">
      <formula>IF(ROW(A19)&gt;Last_Row,TRUE,FALSE)</formula>
    </cfRule>
    <cfRule type="expression" priority="11" dxfId="19" stopIfTrue="1">
      <formula>IF(ROW(A19)=Last_Row,TRUE,FALSE)</formula>
    </cfRule>
    <cfRule type="expression" priority="12" dxfId="20" stopIfTrue="1">
      <formula>IF(ROW(A19)&lt;Last_Row,TRUE,FALSE)</formula>
    </cfRule>
  </conditionalFormatting>
  <conditionalFormatting sqref="L19:M174 G19:G174">
    <cfRule type="expression" priority="13" dxfId="18" stopIfTrue="1">
      <formula>IF(ROW(G19)&gt;Last_Row,TRUE,FALSE)</formula>
    </cfRule>
    <cfRule type="expression" priority="14" dxfId="19" stopIfTrue="1">
      <formula>IF(ROW(G19)=Last_Row,TRUE,FALSE)</formula>
    </cfRule>
    <cfRule type="expression" priority="15" dxfId="19" stopIfTrue="1">
      <formula>IF(ROW(G19)&lt;Last_Row,TRUE,FALSE)</formula>
    </cfRule>
  </conditionalFormatting>
  <conditionalFormatting sqref="C27:C30">
    <cfRule type="expression" priority="7" dxfId="18" stopIfTrue="1">
      <formula>IF(ROW(C27)&gt;Last_Row,TRUE,FALSE)</formula>
    </cfRule>
    <cfRule type="expression" priority="8" dxfId="19" stopIfTrue="1">
      <formula>IF(ROW(C27)=Last_Row,TRUE,FALSE)</formula>
    </cfRule>
    <cfRule type="expression" priority="9" dxfId="20" stopIfTrue="1">
      <formula>IF(ROW(C27)&lt;Last_Row,TRUE,FALSE)</formula>
    </cfRule>
  </conditionalFormatting>
  <conditionalFormatting sqref="C78">
    <cfRule type="expression" priority="4" dxfId="18" stopIfTrue="1">
      <formula>IF(ROW(C78)&gt;Last_Row,TRUE,FALSE)</formula>
    </cfRule>
    <cfRule type="expression" priority="5" dxfId="19" stopIfTrue="1">
      <formula>IF(ROW(C78)=Last_Row,TRUE,FALSE)</formula>
    </cfRule>
    <cfRule type="expression" priority="6" dxfId="20" stopIfTrue="1">
      <formula>IF(ROW(C78)&lt;Last_Row,TRUE,FALSE)</formula>
    </cfRule>
  </conditionalFormatting>
  <conditionalFormatting sqref="C74:C77">
    <cfRule type="expression" priority="1" dxfId="18" stopIfTrue="1">
      <formula>IF(ROW(C74)&gt;Last_Row,TRUE,FALSE)</formula>
    </cfRule>
    <cfRule type="expression" priority="2" dxfId="19" stopIfTrue="1">
      <formula>IF(ROW(C74)=Last_Row,TRUE,FALSE)</formula>
    </cfRule>
    <cfRule type="expression" priority="3" dxfId="20" stopIfTrue="1">
      <formula>IF(ROW(C74)&lt;Last_Row,TRUE,FALSE)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5" r:id="rId3"/>
  <headerFooter alignWithMargins="0">
    <oddFooter>&amp;C&amp;P</oddFooter>
  </headerFooter>
  <ignoredErrors>
    <ignoredError sqref="D18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4"/>
  <sheetViews>
    <sheetView zoomScalePageLayoutView="0" workbookViewId="0" topLeftCell="A28">
      <selection activeCell="I216" sqref="I216"/>
    </sheetView>
  </sheetViews>
  <sheetFormatPr defaultColWidth="11.421875" defaultRowHeight="12.75"/>
  <cols>
    <col min="1" max="1" width="10.421875" style="0" customWidth="1"/>
    <col min="2" max="2" width="10.140625" style="0" customWidth="1"/>
    <col min="3" max="3" width="9.421875" style="0" customWidth="1"/>
    <col min="4" max="4" width="8.7109375" style="0" customWidth="1"/>
    <col min="5" max="5" width="8.28125" style="58" customWidth="1"/>
    <col min="6" max="6" width="15.57421875" style="32" customWidth="1"/>
    <col min="7" max="7" width="14.8515625" style="33" customWidth="1"/>
    <col min="8" max="8" width="4.7109375" style="0" customWidth="1"/>
    <col min="9" max="9" width="15.140625" style="18" customWidth="1"/>
  </cols>
  <sheetData>
    <row r="1" spans="1:11" ht="19.5">
      <c r="A1" s="229"/>
      <c r="B1" s="229"/>
      <c r="C1" s="229"/>
      <c r="D1" s="229"/>
      <c r="E1" s="229"/>
      <c r="F1" s="229"/>
      <c r="G1" s="229"/>
      <c r="H1" s="229"/>
      <c r="I1" s="229"/>
      <c r="J1" s="9"/>
      <c r="K1" s="9"/>
    </row>
    <row r="2" spans="1:11" ht="17.25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10"/>
      <c r="K2" s="10"/>
    </row>
    <row r="3" spans="1:11" ht="12" customHeight="1">
      <c r="A3" s="212"/>
      <c r="B3" s="212"/>
      <c r="C3" s="212"/>
      <c r="D3" s="212"/>
      <c r="E3" s="212"/>
      <c r="F3" s="212"/>
      <c r="G3" s="212"/>
      <c r="H3" s="212"/>
      <c r="I3" s="212"/>
      <c r="J3" s="11"/>
      <c r="K3" s="11"/>
    </row>
    <row r="4" spans="1:11" ht="15" hidden="1">
      <c r="A4" s="43"/>
      <c r="B4" s="43"/>
      <c r="C4" s="43"/>
      <c r="D4" s="43"/>
      <c r="E4" s="54"/>
      <c r="F4" s="43"/>
      <c r="G4" s="43"/>
      <c r="H4" s="43"/>
      <c r="I4" s="43"/>
      <c r="J4" s="11"/>
      <c r="K4" s="11"/>
    </row>
    <row r="5" spans="1:9" ht="52.5" customHeight="1" hidden="1">
      <c r="A5" s="207"/>
      <c r="B5" s="207"/>
      <c r="C5" s="207"/>
      <c r="D5" s="207"/>
      <c r="E5" s="207"/>
      <c r="F5" s="207"/>
      <c r="G5" s="207"/>
      <c r="H5" s="207"/>
      <c r="I5" s="207"/>
    </row>
    <row r="6" spans="1:9" ht="10.5" customHeight="1" hidden="1">
      <c r="A6" s="64"/>
      <c r="B6" s="64"/>
      <c r="C6" s="64"/>
      <c r="D6" s="64"/>
      <c r="E6" s="64"/>
      <c r="F6" s="64"/>
      <c r="G6" s="64"/>
      <c r="H6" s="64"/>
      <c r="I6" s="64"/>
    </row>
    <row r="7" spans="1:9" ht="12.75" hidden="1">
      <c r="A7" s="214" t="s">
        <v>28</v>
      </c>
      <c r="B7" s="214"/>
      <c r="C7" s="214"/>
      <c r="D7" s="13"/>
      <c r="E7" s="119">
        <f>IF(D7="","",POWER((1+D7),(1/12))-1)</f>
      </c>
      <c r="F7" s="63" t="s">
        <v>5</v>
      </c>
      <c r="G7" s="65"/>
      <c r="I7" s="118">
        <v>36220</v>
      </c>
    </row>
    <row r="8" spans="1:9" ht="12.75" hidden="1">
      <c r="A8" s="214" t="s">
        <v>3</v>
      </c>
      <c r="B8" s="214"/>
      <c r="C8" s="214"/>
      <c r="D8" s="14"/>
      <c r="E8" s="55"/>
      <c r="F8" s="30"/>
      <c r="G8" s="30"/>
      <c r="I8" s="118">
        <v>36233</v>
      </c>
    </row>
    <row r="9" spans="1:9" ht="12.75" hidden="1">
      <c r="A9" s="208" t="s">
        <v>30</v>
      </c>
      <c r="B9" s="208"/>
      <c r="C9" s="208"/>
      <c r="D9" s="120" t="str">
        <f>IF(MAX(E7,D8)=0,"Máxima",MAX(E7,D8))</f>
        <v>Máxima</v>
      </c>
      <c r="E9" s="55"/>
      <c r="F9" s="30"/>
      <c r="G9" s="30"/>
      <c r="I9" s="118">
        <v>39083</v>
      </c>
    </row>
    <row r="10" spans="1:9" ht="12.75">
      <c r="A10" s="214" t="s">
        <v>29</v>
      </c>
      <c r="B10" s="214"/>
      <c r="C10" s="214"/>
      <c r="D10" s="13"/>
      <c r="E10" s="119">
        <f>IF(D10="","",POWER((1+D10),(1/12))-1)</f>
      </c>
      <c r="F10" s="85" t="s">
        <v>21</v>
      </c>
      <c r="G10" s="65">
        <f ca="1">+TODAY()</f>
        <v>43991</v>
      </c>
      <c r="I10" s="118">
        <v>39086</v>
      </c>
    </row>
    <row r="11" spans="1:9" ht="12.75">
      <c r="A11" s="214" t="s">
        <v>3</v>
      </c>
      <c r="B11" s="214"/>
      <c r="C11" s="214"/>
      <c r="D11" s="14"/>
      <c r="E11" s="55"/>
      <c r="F11" s="30"/>
      <c r="G11" s="96" t="s">
        <v>23</v>
      </c>
      <c r="H11" s="102" t="s">
        <v>25</v>
      </c>
      <c r="I11"/>
    </row>
    <row r="12" spans="1:9" ht="12.75">
      <c r="A12" s="208" t="s">
        <v>30</v>
      </c>
      <c r="B12" s="208"/>
      <c r="C12" s="208"/>
      <c r="D12" s="121" t="s">
        <v>68</v>
      </c>
      <c r="E12" s="55"/>
      <c r="F12" s="30"/>
      <c r="G12" s="96" t="s">
        <v>24</v>
      </c>
      <c r="H12" s="102"/>
      <c r="I12"/>
    </row>
    <row r="13" spans="1:9" ht="12.75">
      <c r="A13" s="221" t="s">
        <v>33</v>
      </c>
      <c r="B13" s="222"/>
      <c r="C13" s="222"/>
      <c r="D13" s="222"/>
      <c r="E13" s="223"/>
      <c r="F13" s="97"/>
      <c r="G13" s="96" t="s">
        <v>31</v>
      </c>
      <c r="H13" s="102"/>
      <c r="I13" s="25"/>
    </row>
    <row r="14" spans="1:9" ht="12.75">
      <c r="A14" s="221" t="s">
        <v>41</v>
      </c>
      <c r="B14" s="222"/>
      <c r="C14" s="222"/>
      <c r="D14" s="222"/>
      <c r="E14" s="223"/>
      <c r="F14" s="97"/>
      <c r="G14" s="123"/>
      <c r="H14" s="124"/>
      <c r="I14" s="25"/>
    </row>
    <row r="15" spans="7:9" ht="12.75">
      <c r="G15" s="31"/>
      <c r="H15" s="31"/>
      <c r="I15" s="25"/>
    </row>
    <row r="16" spans="1:9" s="37" customFormat="1" ht="25.5">
      <c r="A16" s="209" t="s">
        <v>38</v>
      </c>
      <c r="B16" s="209"/>
      <c r="C16" s="35" t="s">
        <v>1</v>
      </c>
      <c r="D16" s="36" t="s">
        <v>9</v>
      </c>
      <c r="E16" s="129" t="s">
        <v>39</v>
      </c>
      <c r="F16" s="68" t="s">
        <v>7</v>
      </c>
      <c r="G16" s="235" t="s">
        <v>0</v>
      </c>
      <c r="H16" s="235"/>
      <c r="I16" s="235"/>
    </row>
    <row r="17" spans="1:9" s="12" customFormat="1" ht="38.25">
      <c r="A17" s="128" t="s">
        <v>35</v>
      </c>
      <c r="B17" s="128" t="s">
        <v>36</v>
      </c>
      <c r="C17" s="69" t="s">
        <v>11</v>
      </c>
      <c r="D17" s="34" t="s">
        <v>10</v>
      </c>
      <c r="E17" s="131" t="s">
        <v>4</v>
      </c>
      <c r="F17" s="68" t="s">
        <v>8</v>
      </c>
      <c r="G17" s="67" t="s">
        <v>6</v>
      </c>
      <c r="H17" s="106" t="s">
        <v>27</v>
      </c>
      <c r="I17" s="66" t="s">
        <v>37</v>
      </c>
    </row>
    <row r="18" spans="1:9" ht="15">
      <c r="A18" s="90">
        <v>42004</v>
      </c>
      <c r="B18" s="101">
        <f>IF(AND(Fecha_De&gt;=Primar_Sa,Fecha_De&lt;=Catmar_Sa),DATE(YEAR(Fecha_De),MONTH(Fecha_De),14),IF(AND(Fecha_De&gt;=Nuevo_Int_Sa,Fecha_De&lt;=SgN_Int_Sa),DATE(YEAR(Fecha_De),MONTH(Fecha_De),4),DATE(YEAR(Fecha_De),MONTH(Fecha_De)+1,)))</f>
        <v>42004</v>
      </c>
      <c r="C18" s="98"/>
      <c r="D18" s="142" t="s">
        <v>40</v>
      </c>
      <c r="E18" s="89"/>
      <c r="F18" s="22"/>
      <c r="G18" s="23">
        <f>F13</f>
        <v>0</v>
      </c>
      <c r="H18" s="24"/>
      <c r="I18" s="26"/>
    </row>
    <row r="19" spans="1:9" ht="12.75">
      <c r="A19" s="93">
        <f>Fecha_De</f>
        <v>42004</v>
      </c>
      <c r="B19" s="93">
        <f>IF(AND(A19&gt;=Primar_Sa,A19&lt;=Catmar_Sa),DATE(YEAR(A19),MONTH(A19),14),IF(AND(A19&gt;=Nuevo_Int_Sa,A19&lt;=SgN_Int_Sa),DATE(YEAR(A19),MONTH(A19),4),IF(A19=DATE(YEAR(Mora_Final),MONTH(Mora_Final),DAY(1)),DATE(YEAR(Mora_Final),MONTH(Mora_Final),DAY(Mora_Final)),DATE(YEAR(A19),MONTH(A19)+1,))))</f>
        <v>42004</v>
      </c>
      <c r="C19" s="87">
        <f>VLOOKUP(A19,'intereses desde el 71'!$A:$XFD,IF(A19&lt;Nuevo_Int_Sa,3,IF(Comercial_Sa="x",3,IF(Consumo_Sa="x",4,IF(Microcréd_Sa="x",5)))))</f>
        <v>0.1917</v>
      </c>
      <c r="D19" s="4">
        <f>IF(A19="","",(POWER((1+(C19*D$18)),(1/12)))-1)</f>
        <v>0.021285130025374244</v>
      </c>
      <c r="E19" s="53">
        <f>IF(A19="","",IF(B19&lt;=G$7,MIN(D$9,D19),MIN(D$12,D19)))</f>
        <v>0.021285130025374244</v>
      </c>
      <c r="F19" s="20">
        <v>15658137</v>
      </c>
      <c r="G19" s="19">
        <f>IF(A19="","0",G18+F19)</f>
        <v>15658137</v>
      </c>
      <c r="H19" s="6">
        <f aca="true" t="shared" si="0" ref="H19:H49">IF(Colm_De&gt;Mora_Final,"",IF(A19="","",DAYS360(A19,B19+(1))))</f>
        <v>1</v>
      </c>
      <c r="I19" s="15">
        <f aca="true" t="shared" si="1" ref="I19:I50">IF(Colm_De&gt;Mora_Final,"",IF(A19="","",((G19*E19)/30)*H19))</f>
        <v>11109.516066670778</v>
      </c>
    </row>
    <row r="20" spans="1:9" ht="12.75">
      <c r="A20" s="93">
        <f>DATE(YEAR(B19),MONTH(B19),DAY(B19)+1)</f>
        <v>42005</v>
      </c>
      <c r="B20" s="93">
        <f aca="true" t="shared" si="2" ref="B20:B83">IF(AND(A20&gt;=Primar_Sa,A20&lt;=Catmar_Sa),DATE(YEAR(A20),MONTH(A20),14),IF(AND(A20&gt;=Nuevo_Int_Sa,A20&lt;=SgN_Int_Sa),DATE(YEAR(A20),MONTH(A20),4),IF(A20=DATE(YEAR(Mora_Final),MONTH(Mora_Final),DAY(1)),DATE(YEAR(Mora_Final),MONTH(Mora_Final),DAY(Mora_Final)),DATE(YEAR(A20),MONTH(A20)+1,))))</f>
        <v>42035</v>
      </c>
      <c r="C20" s="87">
        <f>VLOOKUP(A20,'intereses desde el 71'!$A:$XFD,IF(A20&lt;Nuevo_Int_Sa,3,IF(Comercial_Sa="x",3,IF(Consumo_Sa="x",4,IF(Microcréd_Sa="x",5)))))</f>
        <v>0.1921</v>
      </c>
      <c r="D20" s="4">
        <f aca="true" t="shared" si="3" ref="D20:D83">IF(A20="","",(POWER((1+(C20*D$18)),(1/12)))-1)</f>
        <v>0.021324781575405183</v>
      </c>
      <c r="E20" s="53">
        <f aca="true" t="shared" si="4" ref="E20:E83">IF(A20="","",IF(B20&lt;=G$7,MIN(D$9,D20),MIN(D$12,D20)))</f>
        <v>0.021324781575405183</v>
      </c>
      <c r="F20" s="20"/>
      <c r="G20" s="19">
        <f>IF(A20="","",G19+F20)</f>
        <v>15658137</v>
      </c>
      <c r="H20" s="6">
        <f t="shared" si="0"/>
        <v>30</v>
      </c>
      <c r="I20" s="15">
        <f t="shared" si="1"/>
        <v>333906.3514027702</v>
      </c>
    </row>
    <row r="21" spans="1:9" ht="12.75">
      <c r="A21" s="93">
        <f aca="true" t="shared" si="5" ref="A21:A84">DATE(YEAR(B20),MONTH(B20),DAY(B20)+1)</f>
        <v>42036</v>
      </c>
      <c r="B21" s="93">
        <f t="shared" si="2"/>
        <v>42063</v>
      </c>
      <c r="C21" s="87">
        <f>VLOOKUP(A21,'intereses desde el 71'!$A:$XFD,IF(A21&lt;Nuevo_Int_Sa,3,IF(Comercial_Sa="x",3,IF(Consumo_Sa="x",4,IF(Microcréd_Sa="x",5)))))</f>
        <v>0.1921</v>
      </c>
      <c r="D21" s="4">
        <f t="shared" si="3"/>
        <v>0.021324781575405183</v>
      </c>
      <c r="E21" s="53">
        <f t="shared" si="4"/>
        <v>0.021324781575405183</v>
      </c>
      <c r="F21" s="20"/>
      <c r="G21" s="19">
        <f aca="true" t="shared" si="6" ref="G21:G84">IF(A21="","",G20+F21)</f>
        <v>15658137</v>
      </c>
      <c r="H21" s="6">
        <f t="shared" si="0"/>
        <v>30</v>
      </c>
      <c r="I21" s="15">
        <f t="shared" si="1"/>
        <v>333906.3514027702</v>
      </c>
    </row>
    <row r="22" spans="1:9" ht="12.75">
      <c r="A22" s="93">
        <f t="shared" si="5"/>
        <v>42064</v>
      </c>
      <c r="B22" s="93">
        <f t="shared" si="2"/>
        <v>42094</v>
      </c>
      <c r="C22" s="87">
        <f>VLOOKUP(A22,'intereses desde el 71'!$A:$XFD,IF(A22&lt;Nuevo_Int_Sa,3,IF(Comercial_Sa="x",3,IF(Consumo_Sa="x",4,IF(Microcréd_Sa="x",5)))))</f>
        <v>0.1921</v>
      </c>
      <c r="D22" s="4">
        <f t="shared" si="3"/>
        <v>0.021324781575405183</v>
      </c>
      <c r="E22" s="53">
        <f t="shared" si="4"/>
        <v>0.021324781575405183</v>
      </c>
      <c r="F22" s="20"/>
      <c r="G22" s="19">
        <f t="shared" si="6"/>
        <v>15658137</v>
      </c>
      <c r="H22" s="6">
        <f t="shared" si="0"/>
        <v>30</v>
      </c>
      <c r="I22" s="15">
        <f t="shared" si="1"/>
        <v>333906.3514027702</v>
      </c>
    </row>
    <row r="23" spans="1:9" ht="12.75">
      <c r="A23" s="93">
        <f t="shared" si="5"/>
        <v>42095</v>
      </c>
      <c r="B23" s="93">
        <f t="shared" si="2"/>
        <v>42124</v>
      </c>
      <c r="C23" s="87">
        <f>VLOOKUP(A23,'intereses desde el 71'!$A:$XFD,IF(A23&lt;Nuevo_Int_Sa,3,IF(Comercial_Sa="x",3,IF(Consumo_Sa="x",4,IF(Microcréd_Sa="x",5)))))</f>
        <v>0.1937</v>
      </c>
      <c r="D23" s="4">
        <f t="shared" si="3"/>
        <v>0.021483218662772696</v>
      </c>
      <c r="E23" s="53">
        <f t="shared" si="4"/>
        <v>0.021483218662772696</v>
      </c>
      <c r="F23" s="20"/>
      <c r="G23" s="19">
        <f t="shared" si="6"/>
        <v>15658137</v>
      </c>
      <c r="H23" s="6">
        <f t="shared" si="0"/>
        <v>30</v>
      </c>
      <c r="I23" s="15">
        <f t="shared" si="1"/>
        <v>336387.18102265167</v>
      </c>
    </row>
    <row r="24" spans="1:9" ht="12.75">
      <c r="A24" s="93">
        <f t="shared" si="5"/>
        <v>42125</v>
      </c>
      <c r="B24" s="93">
        <f t="shared" si="2"/>
        <v>42155</v>
      </c>
      <c r="C24" s="87">
        <f>VLOOKUP(A24,'intereses desde el 71'!$A:$XFD,IF(A24&lt;Nuevo_Int_Sa,3,IF(Comercial_Sa="x",3,IF(Consumo_Sa="x",4,IF(Microcréd_Sa="x",5)))))</f>
        <v>0.1937</v>
      </c>
      <c r="D24" s="4">
        <f t="shared" si="3"/>
        <v>0.021483218662772696</v>
      </c>
      <c r="E24" s="53">
        <f t="shared" si="4"/>
        <v>0.021483218662772696</v>
      </c>
      <c r="F24" s="20"/>
      <c r="G24" s="19">
        <f t="shared" si="6"/>
        <v>15658137</v>
      </c>
      <c r="H24" s="6">
        <f t="shared" si="0"/>
        <v>30</v>
      </c>
      <c r="I24" s="15">
        <f t="shared" si="1"/>
        <v>336387.18102265167</v>
      </c>
    </row>
    <row r="25" spans="1:9" ht="12.75">
      <c r="A25" s="93">
        <f t="shared" si="5"/>
        <v>42156</v>
      </c>
      <c r="B25" s="93">
        <f t="shared" si="2"/>
        <v>42185</v>
      </c>
      <c r="C25" s="87">
        <f>VLOOKUP(A25,'intereses desde el 71'!$A:$XFD,IF(A25&lt;Nuevo_Int_Sa,3,IF(Comercial_Sa="x",3,IF(Consumo_Sa="x",4,IF(Microcréd_Sa="x",5)))))</f>
        <v>0.1937</v>
      </c>
      <c r="D25" s="4">
        <f t="shared" si="3"/>
        <v>0.021483218662772696</v>
      </c>
      <c r="E25" s="53">
        <f t="shared" si="4"/>
        <v>0.021483218662772696</v>
      </c>
      <c r="F25" s="20"/>
      <c r="G25" s="19">
        <f t="shared" si="6"/>
        <v>15658137</v>
      </c>
      <c r="H25" s="6">
        <f t="shared" si="0"/>
        <v>30</v>
      </c>
      <c r="I25" s="15">
        <f t="shared" si="1"/>
        <v>336387.18102265167</v>
      </c>
    </row>
    <row r="26" spans="1:9" ht="12.75">
      <c r="A26" s="93">
        <f t="shared" si="5"/>
        <v>42186</v>
      </c>
      <c r="B26" s="93">
        <f t="shared" si="2"/>
        <v>42216</v>
      </c>
      <c r="C26" s="87">
        <f>VLOOKUP(A26,'intereses desde el 71'!$A:$XFD,IF(A26&lt;Nuevo_Int_Sa,3,IF(Comercial_Sa="x",3,IF(Consumo_Sa="x",4,IF(Microcréd_Sa="x",5)))))</f>
        <v>0.1926</v>
      </c>
      <c r="D26" s="4">
        <f t="shared" si="3"/>
        <v>0.0213743222120113</v>
      </c>
      <c r="E26" s="53">
        <f t="shared" si="4"/>
        <v>0.0213743222120113</v>
      </c>
      <c r="F26" s="20"/>
      <c r="G26" s="19">
        <f t="shared" si="6"/>
        <v>15658137</v>
      </c>
      <c r="H26" s="6">
        <f t="shared" si="0"/>
        <v>30</v>
      </c>
      <c r="I26" s="15">
        <f t="shared" si="1"/>
        <v>334682.065477816</v>
      </c>
    </row>
    <row r="27" spans="1:9" ht="12.75">
      <c r="A27" s="93">
        <f t="shared" si="5"/>
        <v>42217</v>
      </c>
      <c r="B27" s="93">
        <f t="shared" si="2"/>
        <v>42247</v>
      </c>
      <c r="C27" s="87">
        <f>VLOOKUP(A27,'intereses desde el 71'!$A:$XFD,IF(A27&lt;Nuevo_Int_Sa,3,IF(Comercial_Sa="x",3,IF(Consumo_Sa="x",4,IF(Microcréd_Sa="x",5)))))</f>
        <v>0.1926</v>
      </c>
      <c r="D27" s="4">
        <f t="shared" si="3"/>
        <v>0.0213743222120113</v>
      </c>
      <c r="E27" s="53">
        <f t="shared" si="4"/>
        <v>0.0213743222120113</v>
      </c>
      <c r="F27" s="20"/>
      <c r="G27" s="19">
        <f t="shared" si="6"/>
        <v>15658137</v>
      </c>
      <c r="H27" s="6">
        <f t="shared" si="0"/>
        <v>30</v>
      </c>
      <c r="I27" s="15">
        <f t="shared" si="1"/>
        <v>334682.065477816</v>
      </c>
    </row>
    <row r="28" spans="1:9" ht="12.75">
      <c r="A28" s="93">
        <f t="shared" si="5"/>
        <v>42248</v>
      </c>
      <c r="B28" s="93">
        <f t="shared" si="2"/>
        <v>42277</v>
      </c>
      <c r="C28" s="87">
        <f>VLOOKUP(A28,'intereses desde el 71'!$A:$XFD,IF(A28&lt;Nuevo_Int_Sa,3,IF(Comercial_Sa="x",3,IF(Consumo_Sa="x",4,IF(Microcréd_Sa="x",5)))))</f>
        <v>0.1926</v>
      </c>
      <c r="D28" s="4">
        <f t="shared" si="3"/>
        <v>0.0213743222120113</v>
      </c>
      <c r="E28" s="53">
        <f t="shared" si="4"/>
        <v>0.0213743222120113</v>
      </c>
      <c r="F28" s="20"/>
      <c r="G28" s="19">
        <f t="shared" si="6"/>
        <v>15658137</v>
      </c>
      <c r="H28" s="6">
        <f t="shared" si="0"/>
        <v>30</v>
      </c>
      <c r="I28" s="15">
        <f t="shared" si="1"/>
        <v>334682.065477816</v>
      </c>
    </row>
    <row r="29" spans="1:9" ht="12.75">
      <c r="A29" s="93">
        <f t="shared" si="5"/>
        <v>42278</v>
      </c>
      <c r="B29" s="93">
        <f t="shared" si="2"/>
        <v>42308</v>
      </c>
      <c r="C29" s="87">
        <v>0.1933</v>
      </c>
      <c r="D29" s="4">
        <f t="shared" si="3"/>
        <v>0.021443634727683625</v>
      </c>
      <c r="E29" s="53">
        <f t="shared" si="4"/>
        <v>0.021443634727683625</v>
      </c>
      <c r="F29" s="20"/>
      <c r="G29" s="19">
        <f t="shared" si="6"/>
        <v>15658137</v>
      </c>
      <c r="H29" s="6">
        <f t="shared" si="0"/>
        <v>30</v>
      </c>
      <c r="I29" s="15">
        <f t="shared" si="1"/>
        <v>335767.3703440279</v>
      </c>
    </row>
    <row r="30" spans="1:9" ht="12.75">
      <c r="A30" s="93">
        <f t="shared" si="5"/>
        <v>42309</v>
      </c>
      <c r="B30" s="93">
        <f t="shared" si="2"/>
        <v>42338</v>
      </c>
      <c r="C30" s="87">
        <v>0.1933</v>
      </c>
      <c r="D30" s="4">
        <f t="shared" si="3"/>
        <v>0.021443634727683625</v>
      </c>
      <c r="E30" s="53">
        <f t="shared" si="4"/>
        <v>0.021443634727683625</v>
      </c>
      <c r="F30" s="20"/>
      <c r="G30" s="19">
        <f t="shared" si="6"/>
        <v>15658137</v>
      </c>
      <c r="H30" s="6">
        <f t="shared" si="0"/>
        <v>30</v>
      </c>
      <c r="I30" s="15">
        <f t="shared" si="1"/>
        <v>335767.3703440279</v>
      </c>
    </row>
    <row r="31" spans="1:9" ht="12.75">
      <c r="A31" s="93">
        <f t="shared" si="5"/>
        <v>42339</v>
      </c>
      <c r="B31" s="93">
        <f t="shared" si="2"/>
        <v>42369</v>
      </c>
      <c r="C31" s="87">
        <v>0.1933</v>
      </c>
      <c r="D31" s="4">
        <f t="shared" si="3"/>
        <v>0.021443634727683625</v>
      </c>
      <c r="E31" s="53">
        <f t="shared" si="4"/>
        <v>0.021443634727683625</v>
      </c>
      <c r="F31" s="20"/>
      <c r="G31" s="19">
        <f t="shared" si="6"/>
        <v>15658137</v>
      </c>
      <c r="H31" s="6">
        <f t="shared" si="0"/>
        <v>30</v>
      </c>
      <c r="I31" s="15">
        <f t="shared" si="1"/>
        <v>335767.3703440279</v>
      </c>
    </row>
    <row r="32" spans="1:9" ht="12.75">
      <c r="A32" s="93">
        <f t="shared" si="5"/>
        <v>42370</v>
      </c>
      <c r="B32" s="93">
        <f t="shared" si="2"/>
        <v>42400</v>
      </c>
      <c r="C32" s="87">
        <f>VLOOKUP(A32,'intereses desde el 71'!$A:$XFD,IF(A32&lt;Nuevo_Int_Sa,3,IF(Comercial_Sa="x",3,IF(Consumo_Sa="x",4,IF(Microcréd_Sa="x",5)))))</f>
        <v>0.1968</v>
      </c>
      <c r="D32" s="4">
        <f t="shared" si="3"/>
        <v>0.021789423437557742</v>
      </c>
      <c r="E32" s="53">
        <f t="shared" si="4"/>
        <v>0.021789423437557742</v>
      </c>
      <c r="F32" s="20"/>
      <c r="G32" s="19">
        <f t="shared" si="6"/>
        <v>15658137</v>
      </c>
      <c r="H32" s="6">
        <f t="shared" si="0"/>
        <v>30</v>
      </c>
      <c r="I32" s="15">
        <f t="shared" si="1"/>
        <v>341181.77733629005</v>
      </c>
    </row>
    <row r="33" spans="1:9" ht="12.75">
      <c r="A33" s="93">
        <f t="shared" si="5"/>
        <v>42401</v>
      </c>
      <c r="B33" s="93">
        <f t="shared" si="2"/>
        <v>42429</v>
      </c>
      <c r="C33" s="87">
        <f>VLOOKUP(A33,'intereses desde el 71'!$A:$XFD,IF(A33&lt;Nuevo_Int_Sa,3,IF(Comercial_Sa="x",3,IF(Consumo_Sa="x",4,IF(Microcréd_Sa="x",5)))))</f>
        <v>0.1968</v>
      </c>
      <c r="D33" s="4">
        <f t="shared" si="3"/>
        <v>0.021789423437557742</v>
      </c>
      <c r="E33" s="53">
        <f t="shared" si="4"/>
        <v>0.021789423437557742</v>
      </c>
      <c r="F33" s="20"/>
      <c r="G33" s="19">
        <f t="shared" si="6"/>
        <v>15658137</v>
      </c>
      <c r="H33" s="6">
        <f t="shared" si="0"/>
        <v>30</v>
      </c>
      <c r="I33" s="15">
        <f t="shared" si="1"/>
        <v>341181.77733629005</v>
      </c>
    </row>
    <row r="34" spans="1:9" ht="12.75">
      <c r="A34" s="93">
        <f t="shared" si="5"/>
        <v>42430</v>
      </c>
      <c r="B34" s="93">
        <f t="shared" si="2"/>
        <v>42460</v>
      </c>
      <c r="C34" s="87">
        <f>VLOOKUP(A34,'intereses desde el 71'!$A:$XFD,IF(A34&lt;Nuevo_Int_Sa,3,IF(Comercial_Sa="x",3,IF(Consumo_Sa="x",4,IF(Microcréd_Sa="x",5)))))</f>
        <v>0.1968</v>
      </c>
      <c r="D34" s="4">
        <f t="shared" si="3"/>
        <v>0.021789423437557742</v>
      </c>
      <c r="E34" s="53">
        <f t="shared" si="4"/>
        <v>0.021789423437557742</v>
      </c>
      <c r="F34" s="20"/>
      <c r="G34" s="19">
        <f t="shared" si="6"/>
        <v>15658137</v>
      </c>
      <c r="H34" s="6">
        <f t="shared" si="0"/>
        <v>30</v>
      </c>
      <c r="I34" s="15">
        <f t="shared" si="1"/>
        <v>341181.77733629005</v>
      </c>
    </row>
    <row r="35" spans="1:9" ht="12.75">
      <c r="A35" s="93">
        <f t="shared" si="5"/>
        <v>42461</v>
      </c>
      <c r="B35" s="93">
        <f t="shared" si="2"/>
        <v>42490</v>
      </c>
      <c r="C35" s="87">
        <f>VLOOKUP(A35,'intereses desde el 71'!$A:$XFD,IF(A35&lt;Nuevo_Int_Sa,3,IF(Comercial_Sa="x",3,IF(Consumo_Sa="x",4,IF(Microcréd_Sa="x",5)))))</f>
        <v>0.2054</v>
      </c>
      <c r="D35" s="4">
        <f t="shared" si="3"/>
        <v>0.02263364909982224</v>
      </c>
      <c r="E35" s="53">
        <f t="shared" si="4"/>
        <v>0.02263364909982224</v>
      </c>
      <c r="F35" s="20"/>
      <c r="G35" s="19">
        <f t="shared" si="6"/>
        <v>15658137</v>
      </c>
      <c r="H35" s="6">
        <f t="shared" si="0"/>
        <v>30</v>
      </c>
      <c r="I35" s="15">
        <f t="shared" si="1"/>
        <v>354400.7784149433</v>
      </c>
    </row>
    <row r="36" spans="1:9" ht="12.75">
      <c r="A36" s="93">
        <f t="shared" si="5"/>
        <v>42491</v>
      </c>
      <c r="B36" s="93">
        <f t="shared" si="2"/>
        <v>42521</v>
      </c>
      <c r="C36" s="87">
        <f>VLOOKUP(A36,'intereses desde el 71'!$A:$XFD,IF(A36&lt;Nuevo_Int_Sa,3,IF(Comercial_Sa="x",3,IF(Consumo_Sa="x",4,IF(Microcréd_Sa="x",5)))))</f>
        <v>0.2054</v>
      </c>
      <c r="D36" s="4">
        <f t="shared" si="3"/>
        <v>0.02263364909982224</v>
      </c>
      <c r="E36" s="53">
        <f t="shared" si="4"/>
        <v>0.02263364909982224</v>
      </c>
      <c r="F36" s="20"/>
      <c r="G36" s="19">
        <f t="shared" si="6"/>
        <v>15658137</v>
      </c>
      <c r="H36" s="6">
        <f t="shared" si="0"/>
        <v>30</v>
      </c>
      <c r="I36" s="15">
        <f t="shared" si="1"/>
        <v>354400.7784149433</v>
      </c>
    </row>
    <row r="37" spans="1:9" ht="12.75">
      <c r="A37" s="93">
        <f t="shared" si="5"/>
        <v>42522</v>
      </c>
      <c r="B37" s="93">
        <f t="shared" si="2"/>
        <v>42551</v>
      </c>
      <c r="C37" s="87">
        <f>VLOOKUP(A37,'intereses desde el 71'!$A:$XFD,IF(A37&lt;Nuevo_Int_Sa,3,IF(Comercial_Sa="x",3,IF(Consumo_Sa="x",4,IF(Microcréd_Sa="x",5)))))</f>
        <v>0.2054</v>
      </c>
      <c r="D37" s="4">
        <f t="shared" si="3"/>
        <v>0.02263364909982224</v>
      </c>
      <c r="E37" s="53">
        <f t="shared" si="4"/>
        <v>0.02263364909982224</v>
      </c>
      <c r="F37" s="20"/>
      <c r="G37" s="19">
        <f t="shared" si="6"/>
        <v>15658137</v>
      </c>
      <c r="H37" s="6">
        <f t="shared" si="0"/>
        <v>30</v>
      </c>
      <c r="I37" s="15">
        <f t="shared" si="1"/>
        <v>354400.7784149433</v>
      </c>
    </row>
    <row r="38" spans="1:9" ht="12.75">
      <c r="A38" s="93">
        <f t="shared" si="5"/>
        <v>42552</v>
      </c>
      <c r="B38" s="93">
        <f t="shared" si="2"/>
        <v>42582</v>
      </c>
      <c r="C38" s="87">
        <f>VLOOKUP(A38,'intereses desde el 71'!$A:$XFD,IF(A38&lt;Nuevo_Int_Sa,3,IF(Comercial_Sa="x",3,IF(Consumo_Sa="x",4,IF(Microcréd_Sa="x",5)))))</f>
        <v>0.2134</v>
      </c>
      <c r="D38" s="4">
        <f t="shared" si="3"/>
        <v>0.023412151466478903</v>
      </c>
      <c r="E38" s="53">
        <f t="shared" si="4"/>
        <v>0.023412151466478903</v>
      </c>
      <c r="F38" s="20"/>
      <c r="G38" s="19">
        <f t="shared" si="6"/>
        <v>15658137</v>
      </c>
      <c r="H38" s="6">
        <f t="shared" si="0"/>
        <v>30</v>
      </c>
      <c r="I38" s="15">
        <f t="shared" si="1"/>
        <v>366590.67512687756</v>
      </c>
    </row>
    <row r="39" spans="1:11" ht="12.75">
      <c r="A39" s="93">
        <f t="shared" si="5"/>
        <v>42583</v>
      </c>
      <c r="B39" s="93">
        <f t="shared" si="2"/>
        <v>42613</v>
      </c>
      <c r="C39" s="87">
        <f>VLOOKUP(A39,'intereses desde el 71'!$A:$XFD,IF(A39&lt;Nuevo_Int_Sa,3,IF(Comercial_Sa="x",3,IF(Consumo_Sa="x",4,IF(Microcréd_Sa="x",5)))))</f>
        <v>0.2134</v>
      </c>
      <c r="D39" s="4">
        <f t="shared" si="3"/>
        <v>0.023412151466478903</v>
      </c>
      <c r="E39" s="53">
        <f t="shared" si="4"/>
        <v>0.023412151466478903</v>
      </c>
      <c r="F39" s="20"/>
      <c r="G39" s="19">
        <f t="shared" si="6"/>
        <v>15658137</v>
      </c>
      <c r="H39" s="6">
        <f t="shared" si="0"/>
        <v>30</v>
      </c>
      <c r="I39" s="15">
        <f t="shared" si="1"/>
        <v>366590.67512687756</v>
      </c>
      <c r="K39" s="5"/>
    </row>
    <row r="40" spans="1:11" ht="12.75">
      <c r="A40" s="93">
        <f t="shared" si="5"/>
        <v>42614</v>
      </c>
      <c r="B40" s="93">
        <f t="shared" si="2"/>
        <v>42643</v>
      </c>
      <c r="C40" s="87">
        <f>VLOOKUP(A40,'intereses desde el 71'!$A:$XFD,IF(A40&lt;Nuevo_Int_Sa,3,IF(Comercial_Sa="x",3,IF(Consumo_Sa="x",4,IF(Microcréd_Sa="x",5)))))</f>
        <v>0.2134</v>
      </c>
      <c r="D40" s="4">
        <f t="shared" si="3"/>
        <v>0.023412151466478903</v>
      </c>
      <c r="E40" s="53">
        <f t="shared" si="4"/>
        <v>0.023412151466478903</v>
      </c>
      <c r="F40" s="20"/>
      <c r="G40" s="19">
        <f t="shared" si="6"/>
        <v>15658137</v>
      </c>
      <c r="H40" s="6">
        <f t="shared" si="0"/>
        <v>30</v>
      </c>
      <c r="I40" s="15">
        <f t="shared" si="1"/>
        <v>366590.67512687756</v>
      </c>
      <c r="K40" s="7"/>
    </row>
    <row r="41" spans="1:11" ht="12.75">
      <c r="A41" s="93">
        <f t="shared" si="5"/>
        <v>42644</v>
      </c>
      <c r="B41" s="93">
        <f t="shared" si="2"/>
        <v>42674</v>
      </c>
      <c r="C41" s="87">
        <f>VLOOKUP(A41,'intereses desde el 71'!$A:$XFD,IF(A41&lt;Nuevo_Int_Sa,3,IF(Comercial_Sa="x",3,IF(Consumo_Sa="x",4,IF(Microcréd_Sa="x",5)))))</f>
        <v>0.2199</v>
      </c>
      <c r="D41" s="4">
        <f t="shared" si="3"/>
        <v>0.02403992265645094</v>
      </c>
      <c r="E41" s="53">
        <f t="shared" si="4"/>
        <v>0.02403992265645094</v>
      </c>
      <c r="F41" s="20"/>
      <c r="G41" s="19">
        <f t="shared" si="6"/>
        <v>15658137</v>
      </c>
      <c r="H41" s="6">
        <f t="shared" si="0"/>
        <v>30</v>
      </c>
      <c r="I41" s="15">
        <f t="shared" si="1"/>
        <v>376420.4024241128</v>
      </c>
      <c r="K41" s="7"/>
    </row>
    <row r="42" spans="1:11" ht="12.75">
      <c r="A42" s="93">
        <f t="shared" si="5"/>
        <v>42675</v>
      </c>
      <c r="B42" s="93">
        <f t="shared" si="2"/>
        <v>42704</v>
      </c>
      <c r="C42" s="87">
        <f>VLOOKUP(A42,'intereses desde el 71'!$A:$XFD,IF(A42&lt;Nuevo_Int_Sa,3,IF(Comercial_Sa="x",3,IF(Consumo_Sa="x",4,IF(Microcréd_Sa="x",5)))))</f>
        <v>0.2199</v>
      </c>
      <c r="D42" s="4">
        <f t="shared" si="3"/>
        <v>0.02403992265645094</v>
      </c>
      <c r="E42" s="53">
        <f t="shared" si="4"/>
        <v>0.02403992265645094</v>
      </c>
      <c r="F42" s="20"/>
      <c r="G42" s="19">
        <f t="shared" si="6"/>
        <v>15658137</v>
      </c>
      <c r="H42" s="6">
        <f t="shared" si="0"/>
        <v>30</v>
      </c>
      <c r="I42" s="15">
        <f t="shared" si="1"/>
        <v>376420.4024241128</v>
      </c>
      <c r="K42" s="7"/>
    </row>
    <row r="43" spans="1:11" ht="12.75">
      <c r="A43" s="93">
        <f t="shared" si="5"/>
        <v>42705</v>
      </c>
      <c r="B43" s="93">
        <f t="shared" si="2"/>
        <v>42735</v>
      </c>
      <c r="C43" s="87">
        <f>VLOOKUP(A43,'intereses desde el 71'!$A:$XFD,IF(A43&lt;Nuevo_Int_Sa,3,IF(Comercial_Sa="x",3,IF(Consumo_Sa="x",4,IF(Microcréd_Sa="x",5)))))</f>
        <v>0.2199</v>
      </c>
      <c r="D43" s="4">
        <f t="shared" si="3"/>
        <v>0.02403992265645094</v>
      </c>
      <c r="E43" s="53">
        <f t="shared" si="4"/>
        <v>0.02403992265645094</v>
      </c>
      <c r="F43" s="20"/>
      <c r="G43" s="19">
        <f t="shared" si="6"/>
        <v>15658137</v>
      </c>
      <c r="H43" s="6">
        <f t="shared" si="0"/>
        <v>30</v>
      </c>
      <c r="I43" s="15">
        <f t="shared" si="1"/>
        <v>376420.4024241128</v>
      </c>
      <c r="K43" s="7"/>
    </row>
    <row r="44" spans="1:11" ht="12.75">
      <c r="A44" s="93">
        <f t="shared" si="5"/>
        <v>42736</v>
      </c>
      <c r="B44" s="93">
        <f t="shared" si="2"/>
        <v>42766</v>
      </c>
      <c r="C44" s="87">
        <f>VLOOKUP(A44,'intereses desde el 71'!$A:$XFD,IF(A44&lt;Nuevo_Int_Sa,3,IF(Comercial_Sa="x",3,IF(Consumo_Sa="x",4,IF(Microcréd_Sa="x",5)))))</f>
        <v>0.2234</v>
      </c>
      <c r="D44" s="4">
        <f t="shared" si="3"/>
        <v>0.024376207843189057</v>
      </c>
      <c r="E44" s="53">
        <f t="shared" si="4"/>
        <v>0.024376207843189057</v>
      </c>
      <c r="F44" s="20"/>
      <c r="G44" s="19">
        <f t="shared" si="6"/>
        <v>15658137</v>
      </c>
      <c r="H44" s="6">
        <f t="shared" si="0"/>
        <v>30</v>
      </c>
      <c r="I44" s="15">
        <f t="shared" si="1"/>
        <v>381686.00194912875</v>
      </c>
      <c r="K44" s="7"/>
    </row>
    <row r="45" spans="1:9" ht="12.75">
      <c r="A45" s="93">
        <f t="shared" si="5"/>
        <v>42767</v>
      </c>
      <c r="B45" s="93">
        <f t="shared" si="2"/>
        <v>42794</v>
      </c>
      <c r="C45" s="87">
        <f>VLOOKUP(A45,'intereses desde el 71'!$A:$XFD,IF(A45&lt;Nuevo_Int_Sa,3,IF(Comercial_Sa="x",3,IF(Consumo_Sa="x",4,IF(Microcréd_Sa="x",5)))))</f>
        <v>0.2234</v>
      </c>
      <c r="D45" s="4">
        <f t="shared" si="3"/>
        <v>0.024376207843189057</v>
      </c>
      <c r="E45" s="53">
        <f t="shared" si="4"/>
        <v>0.024376207843189057</v>
      </c>
      <c r="F45" s="20"/>
      <c r="G45" s="19">
        <f t="shared" si="6"/>
        <v>15658137</v>
      </c>
      <c r="H45" s="6">
        <f t="shared" si="0"/>
        <v>30</v>
      </c>
      <c r="I45" s="15">
        <f t="shared" si="1"/>
        <v>381686.00194912875</v>
      </c>
    </row>
    <row r="46" spans="1:9" ht="12.75">
      <c r="A46" s="93">
        <f t="shared" si="5"/>
        <v>42795</v>
      </c>
      <c r="B46" s="93">
        <f t="shared" si="2"/>
        <v>42825</v>
      </c>
      <c r="C46" s="87">
        <f>VLOOKUP(A46,'intereses desde el 71'!$A:$XFD,IF(A46&lt;Nuevo_Int_Sa,3,IF(Comercial_Sa="x",3,IF(Consumo_Sa="x",4,IF(Microcréd_Sa="x",5)))))</f>
        <v>0.2234</v>
      </c>
      <c r="D46" s="4">
        <f t="shared" si="3"/>
        <v>0.024376207843189057</v>
      </c>
      <c r="E46" s="53">
        <f t="shared" si="4"/>
        <v>0.024376207843189057</v>
      </c>
      <c r="F46" s="20"/>
      <c r="G46" s="19">
        <f t="shared" si="6"/>
        <v>15658137</v>
      </c>
      <c r="H46" s="6">
        <f t="shared" si="0"/>
        <v>30</v>
      </c>
      <c r="I46" s="15">
        <f t="shared" si="1"/>
        <v>381686.00194912875</v>
      </c>
    </row>
    <row r="47" spans="1:9" ht="12.75">
      <c r="A47" s="93">
        <f t="shared" si="5"/>
        <v>42826</v>
      </c>
      <c r="B47" s="93">
        <f t="shared" si="2"/>
        <v>42855</v>
      </c>
      <c r="C47" s="87">
        <f>VLOOKUP(A47,'intereses desde el 71'!$A:$XFD,IF(A47&lt;Nuevo_Int_Sa,3,IF(Comercial_Sa="x",3,IF(Consumo_Sa="x",4,IF(Microcréd_Sa="x",5)))))</f>
        <v>0.2233</v>
      </c>
      <c r="D47" s="4">
        <f t="shared" si="3"/>
        <v>0.02436661653016814</v>
      </c>
      <c r="E47" s="53">
        <f t="shared" si="4"/>
        <v>0.02436661653016814</v>
      </c>
      <c r="F47" s="20"/>
      <c r="G47" s="19">
        <f t="shared" si="6"/>
        <v>15658137</v>
      </c>
      <c r="H47" s="6">
        <f t="shared" si="0"/>
        <v>30</v>
      </c>
      <c r="I47" s="15">
        <f t="shared" si="1"/>
        <v>381535.8198558374</v>
      </c>
    </row>
    <row r="48" spans="1:9" ht="12.75">
      <c r="A48" s="93">
        <f t="shared" si="5"/>
        <v>42856</v>
      </c>
      <c r="B48" s="93">
        <f t="shared" si="2"/>
        <v>42886</v>
      </c>
      <c r="C48" s="87">
        <f>VLOOKUP(A48,'intereses desde el 71'!$A:$XFD,IF(A48&lt;Nuevo_Int_Sa,3,IF(Comercial_Sa="x",3,IF(Consumo_Sa="x",4,IF(Microcréd_Sa="x",5)))))</f>
        <v>0.2233</v>
      </c>
      <c r="D48" s="4">
        <f t="shared" si="3"/>
        <v>0.02436661653016814</v>
      </c>
      <c r="E48" s="53">
        <f t="shared" si="4"/>
        <v>0.02436661653016814</v>
      </c>
      <c r="F48" s="20"/>
      <c r="G48" s="19">
        <f t="shared" si="6"/>
        <v>15658137</v>
      </c>
      <c r="H48" s="6">
        <f t="shared" si="0"/>
        <v>30</v>
      </c>
      <c r="I48" s="15">
        <f t="shared" si="1"/>
        <v>381535.8198558374</v>
      </c>
    </row>
    <row r="49" spans="1:9" ht="12.75">
      <c r="A49" s="93">
        <f t="shared" si="5"/>
        <v>42887</v>
      </c>
      <c r="B49" s="93">
        <f t="shared" si="2"/>
        <v>42916</v>
      </c>
      <c r="C49" s="87">
        <f>VLOOKUP(A49,'intereses desde el 71'!$A:$XFD,IF(A49&lt;Nuevo_Int_Sa,3,IF(Comercial_Sa="x",3,IF(Consumo_Sa="x",4,IF(Microcréd_Sa="x",5)))))</f>
        <v>0.2233</v>
      </c>
      <c r="D49" s="4">
        <f t="shared" si="3"/>
        <v>0.02436661653016814</v>
      </c>
      <c r="E49" s="53">
        <f t="shared" si="4"/>
        <v>0.02436661653016814</v>
      </c>
      <c r="F49" s="20"/>
      <c r="G49" s="19">
        <f t="shared" si="6"/>
        <v>15658137</v>
      </c>
      <c r="H49" s="6">
        <f t="shared" si="0"/>
        <v>30</v>
      </c>
      <c r="I49" s="15">
        <f t="shared" si="1"/>
        <v>381535.8198558374</v>
      </c>
    </row>
    <row r="50" spans="1:9" ht="12.75">
      <c r="A50" s="93">
        <f t="shared" si="5"/>
        <v>42917</v>
      </c>
      <c r="B50" s="93">
        <f t="shared" si="2"/>
        <v>42947</v>
      </c>
      <c r="C50" s="87">
        <f>VLOOKUP(A50,'intereses desde el 71'!$A:$XFD,IF(A50&lt;Nuevo_Int_Sa,3,IF(Comercial_Sa="x",3,IF(Consumo_Sa="x",4,IF(Microcréd_Sa="x",5)))))</f>
        <v>0.2198</v>
      </c>
      <c r="D50" s="4">
        <f t="shared" si="3"/>
        <v>0.024030296637850723</v>
      </c>
      <c r="E50" s="53">
        <f t="shared" si="4"/>
        <v>0.024030296637850723</v>
      </c>
      <c r="F50" s="20"/>
      <c r="G50" s="19">
        <f t="shared" si="6"/>
        <v>15658137</v>
      </c>
      <c r="H50" s="6">
        <f aca="true" t="shared" si="7" ref="H50:H81">IF(Colm_De&gt;Mora_Final,"",IF(A50="","",DAYS360(A50,B50+(1))))</f>
        <v>30</v>
      </c>
      <c r="I50" s="15">
        <f t="shared" si="1"/>
        <v>376269.676906106</v>
      </c>
    </row>
    <row r="51" spans="1:9" ht="12.75">
      <c r="A51" s="93">
        <f t="shared" si="5"/>
        <v>42948</v>
      </c>
      <c r="B51" s="93">
        <f t="shared" si="2"/>
        <v>42978</v>
      </c>
      <c r="C51" s="87">
        <f>VLOOKUP(A51,'intereses desde el 71'!$A:$XFD,IF(A51&lt;Nuevo_Int_Sa,3,IF(Comercial_Sa="x",3,IF(Consumo_Sa="x",4,IF(Microcréd_Sa="x",5)))))</f>
        <v>0.2198</v>
      </c>
      <c r="D51" s="4">
        <f t="shared" si="3"/>
        <v>0.024030296637850723</v>
      </c>
      <c r="E51" s="53">
        <f t="shared" si="4"/>
        <v>0.024030296637850723</v>
      </c>
      <c r="F51" s="20"/>
      <c r="G51" s="19">
        <f t="shared" si="6"/>
        <v>15658137</v>
      </c>
      <c r="H51" s="6">
        <f t="shared" si="7"/>
        <v>30</v>
      </c>
      <c r="I51" s="15">
        <f aca="true" t="shared" si="8" ref="I51:I82">IF(Colm_De&gt;Mora_Final,"",IF(A51="","",((G51*E51)/30)*H51))</f>
        <v>376269.676906106</v>
      </c>
    </row>
    <row r="52" spans="1:9" ht="12.75">
      <c r="A52" s="93">
        <f t="shared" si="5"/>
        <v>42979</v>
      </c>
      <c r="B52" s="93">
        <f t="shared" si="2"/>
        <v>43008</v>
      </c>
      <c r="C52" s="87">
        <f>VLOOKUP(A52,'intereses desde el 71'!$A:$XFD,IF(A52&lt;Nuevo_Int_Sa,3,IF(Comercial_Sa="x",3,IF(Consumo_Sa="x",4,IF(Microcréd_Sa="x",5)))))</f>
        <v>0.2148</v>
      </c>
      <c r="D52" s="4">
        <f t="shared" si="3"/>
        <v>0.02354772201212363</v>
      </c>
      <c r="E52" s="53">
        <f t="shared" si="4"/>
        <v>0.02354772201212363</v>
      </c>
      <c r="F52" s="20"/>
      <c r="G52" s="19">
        <f t="shared" si="6"/>
        <v>15658137</v>
      </c>
      <c r="H52" s="6">
        <f t="shared" si="7"/>
        <v>30</v>
      </c>
      <c r="I52" s="15">
        <f t="shared" si="8"/>
        <v>368713.4573037474</v>
      </c>
    </row>
    <row r="53" spans="1:9" ht="12.75">
      <c r="A53" s="93">
        <f t="shared" si="5"/>
        <v>43009</v>
      </c>
      <c r="B53" s="93">
        <f t="shared" si="2"/>
        <v>43039</v>
      </c>
      <c r="C53" s="87">
        <f>VLOOKUP(A53,'intereses desde el 71'!$A:$XFD,IF(A53&lt;Nuevo_Int_Sa,3,IF(Comercial_Sa="x",3,IF(Consumo_Sa="x",4,IF(Microcréd_Sa="x",5)))))</f>
        <v>0.2115</v>
      </c>
      <c r="D53" s="4">
        <f t="shared" si="3"/>
        <v>0.023227846316473233</v>
      </c>
      <c r="E53" s="53">
        <f t="shared" si="4"/>
        <v>0.023227846316473233</v>
      </c>
      <c r="F53" s="20"/>
      <c r="G53" s="19">
        <f t="shared" si="6"/>
        <v>15658137</v>
      </c>
      <c r="H53" s="6">
        <f t="shared" si="7"/>
        <v>30</v>
      </c>
      <c r="I53" s="15">
        <f t="shared" si="8"/>
        <v>363704.7998382832</v>
      </c>
    </row>
    <row r="54" spans="1:9" ht="12.75">
      <c r="A54" s="93">
        <f t="shared" si="5"/>
        <v>43040</v>
      </c>
      <c r="B54" s="93">
        <f t="shared" si="2"/>
        <v>43069</v>
      </c>
      <c r="C54" s="87">
        <f>VLOOKUP(A54,'intereses desde el 71'!$A:$XFD,IF(A54&lt;Nuevo_Int_Sa,3,IF(Comercial_Sa="x",3,IF(Consumo_Sa="x",4,IF(Microcréd_Sa="x",5)))))</f>
        <v>0.2096</v>
      </c>
      <c r="D54" s="4">
        <f t="shared" si="3"/>
        <v>0.023043175271197036</v>
      </c>
      <c r="E54" s="53">
        <f t="shared" si="4"/>
        <v>0.023043175271197036</v>
      </c>
      <c r="F54" s="20"/>
      <c r="G54" s="19">
        <f t="shared" si="6"/>
        <v>15658137</v>
      </c>
      <c r="H54" s="6">
        <f t="shared" si="7"/>
        <v>30</v>
      </c>
      <c r="I54" s="15">
        <f t="shared" si="8"/>
        <v>360813.19531141536</v>
      </c>
    </row>
    <row r="55" spans="1:9" ht="12.75" hidden="1">
      <c r="A55" s="93">
        <f t="shared" si="5"/>
        <v>43070</v>
      </c>
      <c r="B55" s="93">
        <f t="shared" si="2"/>
        <v>43100</v>
      </c>
      <c r="C55" s="87">
        <f>VLOOKUP(A55,'intereses desde el 71'!$A:$XFD,IF(A55&lt;Nuevo_Int_Sa,3,IF(Comercial_Sa="x",3,IF(Consumo_Sa="x",4,IF(Microcréd_Sa="x",5)))))</f>
        <v>0.2077</v>
      </c>
      <c r="D55" s="4">
        <f t="shared" si="3"/>
        <v>0.022858136808515228</v>
      </c>
      <c r="E55" s="53">
        <f t="shared" si="4"/>
        <v>0.022858136808515228</v>
      </c>
      <c r="F55" s="20"/>
      <c r="G55" s="19">
        <f t="shared" si="6"/>
        <v>15658137</v>
      </c>
      <c r="H55" s="6">
        <f t="shared" si="7"/>
        <v>30</v>
      </c>
      <c r="I55" s="15">
        <f t="shared" si="8"/>
        <v>357915.8377124742</v>
      </c>
    </row>
    <row r="56" spans="1:9" ht="12.75" hidden="1">
      <c r="A56" s="93">
        <f t="shared" si="5"/>
        <v>43101</v>
      </c>
      <c r="B56" s="93">
        <f t="shared" si="2"/>
        <v>43131</v>
      </c>
      <c r="C56" s="87">
        <f>VLOOKUP(A56,'intereses desde el 71'!$A:$XFD,IF(A56&lt;Nuevo_Int_Sa,3,IF(Comercial_Sa="x",3,IF(Consumo_Sa="x",4,IF(Microcréd_Sa="x",5)))))</f>
        <v>0.2069</v>
      </c>
      <c r="D56" s="4">
        <f t="shared" si="3"/>
        <v>0.022780115587483163</v>
      </c>
      <c r="E56" s="53">
        <f t="shared" si="4"/>
        <v>0.022780115587483163</v>
      </c>
      <c r="F56" s="20"/>
      <c r="G56" s="19">
        <f t="shared" si="6"/>
        <v>15658137</v>
      </c>
      <c r="H56" s="6">
        <f t="shared" si="7"/>
        <v>30</v>
      </c>
      <c r="I56" s="15">
        <f t="shared" si="8"/>
        <v>356694.17074464686</v>
      </c>
    </row>
    <row r="57" spans="1:9" ht="12.75" hidden="1">
      <c r="A57" s="93">
        <f t="shared" si="5"/>
        <v>43132</v>
      </c>
      <c r="B57" s="93">
        <f t="shared" si="2"/>
        <v>43159</v>
      </c>
      <c r="C57" s="87">
        <f>VLOOKUP(A57,'intereses desde el 71'!$A:$XFD,IF(A57&lt;Nuevo_Int_Sa,3,IF(Comercial_Sa="x",3,IF(Consumo_Sa="x",4,IF(Microcréd_Sa="x",5)))))</f>
        <v>0.2101</v>
      </c>
      <c r="D57" s="4">
        <f t="shared" si="3"/>
        <v>0.023091808474569486</v>
      </c>
      <c r="E57" s="53">
        <f t="shared" si="4"/>
        <v>0.023091808474569486</v>
      </c>
      <c r="F57" s="20"/>
      <c r="G57" s="19">
        <f t="shared" si="6"/>
        <v>15658137</v>
      </c>
      <c r="H57" s="6">
        <f t="shared" si="7"/>
        <v>30</v>
      </c>
      <c r="I57" s="15">
        <f t="shared" si="8"/>
        <v>361574.70067257003</v>
      </c>
    </row>
    <row r="58" spans="1:9" ht="12.75" hidden="1">
      <c r="A58" s="93">
        <f t="shared" si="5"/>
        <v>43160</v>
      </c>
      <c r="B58" s="93">
        <f t="shared" si="2"/>
        <v>43190</v>
      </c>
      <c r="C58" s="87">
        <f>VLOOKUP(A58,'intereses desde el 71'!$A:$XFD,IF(A58&lt;Nuevo_Int_Sa,3,IF(Comercial_Sa="x",3,IF(Consumo_Sa="x",4,IF(Microcréd_Sa="x",5)))))</f>
        <v>0.2068</v>
      </c>
      <c r="D58" s="4">
        <f t="shared" si="3"/>
        <v>0.022770358330055807</v>
      </c>
      <c r="E58" s="53">
        <f t="shared" si="4"/>
        <v>0.022770358330055807</v>
      </c>
      <c r="F58" s="20"/>
      <c r="G58" s="19">
        <f t="shared" si="6"/>
        <v>15658137</v>
      </c>
      <c r="H58" s="6">
        <f t="shared" si="7"/>
        <v>30</v>
      </c>
      <c r="I58" s="15">
        <f t="shared" si="8"/>
        <v>356541.39027110505</v>
      </c>
    </row>
    <row r="59" spans="1:9" ht="12.75" hidden="1">
      <c r="A59" s="93">
        <f t="shared" si="5"/>
        <v>43191</v>
      </c>
      <c r="B59" s="93">
        <f t="shared" si="2"/>
        <v>43220</v>
      </c>
      <c r="C59" s="87">
        <f>VLOOKUP(A59,'intereses desde el 71'!$A:$XFD,IF(A59&lt;Nuevo_Int_Sa,3,IF(Comercial_Sa="x",3,IF(Consumo_Sa="x",4,IF(Microcréd_Sa="x",5)))))</f>
        <v>0.2048</v>
      </c>
      <c r="D59" s="4">
        <f t="shared" si="3"/>
        <v>0.02257499783437167</v>
      </c>
      <c r="E59" s="53">
        <f t="shared" si="4"/>
        <v>0.02257499783437167</v>
      </c>
      <c r="F59" s="20"/>
      <c r="G59" s="19">
        <f t="shared" si="6"/>
        <v>15658137</v>
      </c>
      <c r="H59" s="6">
        <f t="shared" si="7"/>
        <v>30</v>
      </c>
      <c r="I59" s="15">
        <f t="shared" si="8"/>
        <v>353482.4088652949</v>
      </c>
    </row>
    <row r="60" spans="1:9" ht="12.75" hidden="1">
      <c r="A60" s="93">
        <f t="shared" si="5"/>
        <v>43221</v>
      </c>
      <c r="B60" s="93">
        <f t="shared" si="2"/>
        <v>43251</v>
      </c>
      <c r="C60" s="87">
        <f>VLOOKUP(A60,'intereses desde el 71'!$A:$XFD,IF(A60&lt;Nuevo_Int_Sa,3,IF(Comercial_Sa="x",3,IF(Consumo_Sa="x",4,IF(Microcréd_Sa="x",5)))))</f>
        <v>0.2044</v>
      </c>
      <c r="D60" s="4">
        <f t="shared" si="3"/>
        <v>0.022535876422826506</v>
      </c>
      <c r="E60" s="53">
        <f t="shared" si="4"/>
        <v>0.022535876422826506</v>
      </c>
      <c r="F60" s="20"/>
      <c r="G60" s="19">
        <f t="shared" si="6"/>
        <v>15658137</v>
      </c>
      <c r="H60" s="6">
        <f t="shared" si="7"/>
        <v>30</v>
      </c>
      <c r="I60" s="15">
        <f t="shared" si="8"/>
        <v>352869.84044368734</v>
      </c>
    </row>
    <row r="61" spans="1:9" ht="12.75" hidden="1">
      <c r="A61" s="93">
        <f t="shared" si="5"/>
        <v>43252</v>
      </c>
      <c r="B61" s="93">
        <f t="shared" si="2"/>
        <v>43281</v>
      </c>
      <c r="C61" s="87">
        <f>VLOOKUP(A61,'intereses desde el 71'!$A:$XFD,IF(A61&lt;Nuevo_Int_Sa,3,IF(Comercial_Sa="x",3,IF(Consumo_Sa="x",4,IF(Microcréd_Sa="x",5)))))</f>
        <v>0.2048</v>
      </c>
      <c r="D61" s="4">
        <f t="shared" si="3"/>
        <v>0.02257499783437167</v>
      </c>
      <c r="E61" s="53">
        <f t="shared" si="4"/>
        <v>0.02257499783437167</v>
      </c>
      <c r="F61" s="20"/>
      <c r="G61" s="19">
        <f t="shared" si="6"/>
        <v>15658137</v>
      </c>
      <c r="H61" s="6">
        <f t="shared" si="7"/>
        <v>30</v>
      </c>
      <c r="I61" s="15">
        <f t="shared" si="8"/>
        <v>353482.4088652949</v>
      </c>
    </row>
    <row r="62" spans="1:9" ht="12.75" hidden="1">
      <c r="A62" s="93">
        <f t="shared" si="5"/>
        <v>43282</v>
      </c>
      <c r="B62" s="93">
        <f t="shared" si="2"/>
        <v>43312</v>
      </c>
      <c r="C62" s="87">
        <f>VLOOKUP(A62,'intereses desde el 71'!$A:$XFD,IF(A62&lt;Nuevo_Int_Sa,3,IF(Comercial_Sa="x",3,IF(Consumo_Sa="x",4,IF(Microcréd_Sa="x",5)))))</f>
        <v>0.2003</v>
      </c>
      <c r="D62" s="4">
        <f t="shared" si="3"/>
        <v>0.02213392969916317</v>
      </c>
      <c r="E62" s="53">
        <f t="shared" si="4"/>
        <v>0.02213392969916317</v>
      </c>
      <c r="F62" s="20"/>
      <c r="G62" s="19">
        <f t="shared" si="6"/>
        <v>15658137</v>
      </c>
      <c r="H62" s="6">
        <f t="shared" si="7"/>
        <v>30</v>
      </c>
      <c r="I62" s="15">
        <f t="shared" si="8"/>
        <v>346576.1035778657</v>
      </c>
    </row>
    <row r="63" spans="1:9" ht="12.75" hidden="1">
      <c r="A63" s="93">
        <f t="shared" si="5"/>
        <v>43313</v>
      </c>
      <c r="B63" s="93">
        <f t="shared" si="2"/>
        <v>43343</v>
      </c>
      <c r="C63" s="87">
        <f>VLOOKUP(A63,'intereses desde el 71'!$A:$XFD,IF(A63&lt;Nuevo_Int_Sa,3,IF(Comercial_Sa="x",3,IF(Consumo_Sa="x",4,IF(Microcréd_Sa="x",5)))))</f>
        <v>0.1994</v>
      </c>
      <c r="D63" s="4">
        <f t="shared" si="3"/>
        <v>0.022045464310016527</v>
      </c>
      <c r="E63" s="53">
        <f t="shared" si="4"/>
        <v>0.022045464310016527</v>
      </c>
      <c r="F63" s="20"/>
      <c r="G63" s="19">
        <f t="shared" si="6"/>
        <v>15658137</v>
      </c>
      <c r="H63" s="6">
        <f t="shared" si="7"/>
        <v>30</v>
      </c>
      <c r="I63" s="15">
        <f t="shared" si="8"/>
        <v>345190.90039484925</v>
      </c>
    </row>
    <row r="64" spans="1:9" ht="12.75" hidden="1">
      <c r="A64" s="93">
        <f t="shared" si="5"/>
        <v>43344</v>
      </c>
      <c r="B64" s="93">
        <f t="shared" si="2"/>
        <v>43373</v>
      </c>
      <c r="C64" s="87">
        <f>VLOOKUP(A64,'intereses desde el 71'!$A:$XFD,IF(A64&lt;Nuevo_Int_Sa,3,IF(Comercial_Sa="x",3,IF(Consumo_Sa="x",4,IF(Microcréd_Sa="x",5)))))</f>
        <v>0.1981</v>
      </c>
      <c r="D64" s="4">
        <f t="shared" si="3"/>
        <v>0.021917532081249247</v>
      </c>
      <c r="E64" s="53">
        <f t="shared" si="4"/>
        <v>0.021917532081249247</v>
      </c>
      <c r="F64" s="20"/>
      <c r="G64" s="19">
        <f t="shared" si="6"/>
        <v>15658137</v>
      </c>
      <c r="H64" s="6">
        <f t="shared" si="7"/>
        <v>30</v>
      </c>
      <c r="I64" s="15">
        <f t="shared" si="8"/>
        <v>343187.72003009584</v>
      </c>
    </row>
    <row r="65" spans="1:9" ht="12.75" hidden="1">
      <c r="A65" s="93">
        <f t="shared" si="5"/>
        <v>43374</v>
      </c>
      <c r="B65" s="93">
        <f t="shared" si="2"/>
        <v>43404</v>
      </c>
      <c r="C65" s="87">
        <f>VLOOKUP(A65,'intereses desde el 71'!$A:$XFD,IF(A65&lt;Nuevo_Int_Sa,3,IF(Comercial_Sa="x",3,IF(Consumo_Sa="x",4,IF(Microcréd_Sa="x",5)))))</f>
        <v>0.1963</v>
      </c>
      <c r="D65" s="4">
        <f t="shared" si="3"/>
        <v>0.021740103800155453</v>
      </c>
      <c r="E65" s="53">
        <f t="shared" si="4"/>
        <v>0.021740103800155453</v>
      </c>
      <c r="F65" s="20"/>
      <c r="G65" s="19">
        <f t="shared" si="6"/>
        <v>15658137</v>
      </c>
      <c r="H65" s="6">
        <f t="shared" si="7"/>
        <v>30</v>
      </c>
      <c r="I65" s="15">
        <f t="shared" si="8"/>
        <v>340409.5236970547</v>
      </c>
    </row>
    <row r="66" spans="1:9" ht="12.75" hidden="1">
      <c r="A66" s="93">
        <f t="shared" si="5"/>
        <v>43405</v>
      </c>
      <c r="B66" s="93">
        <f t="shared" si="2"/>
        <v>43434</v>
      </c>
      <c r="C66" s="87">
        <f>VLOOKUP(A66,'intereses desde el 71'!$A:$XFD,IF(A66&lt;Nuevo_Int_Sa,3,IF(Comercial_Sa="x",3,IF(Consumo_Sa="x",4,IF(Microcréd_Sa="x",5)))))</f>
        <v>0.1949</v>
      </c>
      <c r="D66" s="4">
        <f t="shared" si="3"/>
        <v>0.02160186933158159</v>
      </c>
      <c r="E66" s="53">
        <f t="shared" si="4"/>
        <v>0.02160186933158159</v>
      </c>
      <c r="F66" s="20"/>
      <c r="G66" s="19">
        <f t="shared" si="6"/>
        <v>15658137</v>
      </c>
      <c r="H66" s="6">
        <f t="shared" si="7"/>
        <v>30</v>
      </c>
      <c r="I66" s="15">
        <f t="shared" si="8"/>
        <v>338245.029450003</v>
      </c>
    </row>
    <row r="67" spans="1:9" ht="12.75" hidden="1">
      <c r="A67" s="93">
        <f t="shared" si="5"/>
        <v>43435</v>
      </c>
      <c r="B67" s="93">
        <f t="shared" si="2"/>
        <v>43465</v>
      </c>
      <c r="C67" s="87">
        <f>VLOOKUP(A67,'intereses desde el 71'!$A:$XFD,IF(A67&lt;Nuevo_Int_Sa,3,IF(Comercial_Sa="x",3,IF(Consumo_Sa="x",4,IF(Microcréd_Sa="x",5)))))</f>
        <v>0.194</v>
      </c>
      <c r="D67" s="4">
        <f t="shared" si="3"/>
        <v>0.021512895544899102</v>
      </c>
      <c r="E67" s="53">
        <f t="shared" si="4"/>
        <v>0.021512895544899102</v>
      </c>
      <c r="F67" s="20"/>
      <c r="G67" s="19">
        <f t="shared" si="6"/>
        <v>15658137</v>
      </c>
      <c r="H67" s="6">
        <f t="shared" si="7"/>
        <v>30</v>
      </c>
      <c r="I67" s="15">
        <f t="shared" si="8"/>
        <v>336851.86570871976</v>
      </c>
    </row>
    <row r="68" spans="1:9" ht="12.75" hidden="1">
      <c r="A68" s="93">
        <f t="shared" si="5"/>
        <v>43466</v>
      </c>
      <c r="B68" s="93">
        <f t="shared" si="2"/>
        <v>43496</v>
      </c>
      <c r="C68" s="87">
        <f>VLOOKUP(A68,'intereses desde el 71'!$A:$XFD,IF(A68&lt;Nuevo_Int_Sa,3,IF(Comercial_Sa="x",3,IF(Consumo_Sa="x",4,IF(Microcréd_Sa="x",5)))))</f>
        <v>0.1916</v>
      </c>
      <c r="D68" s="4">
        <f t="shared" si="3"/>
        <v>0.02127521449135017</v>
      </c>
      <c r="E68" s="53">
        <f t="shared" si="4"/>
        <v>0.02127521449135017</v>
      </c>
      <c r="F68" s="20"/>
      <c r="G68" s="19">
        <f t="shared" si="6"/>
        <v>15658137</v>
      </c>
      <c r="H68" s="6">
        <f t="shared" si="7"/>
        <v>30</v>
      </c>
      <c r="I68" s="15">
        <f t="shared" si="8"/>
        <v>333130.22320994624</v>
      </c>
    </row>
    <row r="69" spans="1:9" ht="12.75" hidden="1">
      <c r="A69" s="93">
        <f t="shared" si="5"/>
        <v>43497</v>
      </c>
      <c r="B69" s="93">
        <f t="shared" si="2"/>
        <v>43524</v>
      </c>
      <c r="C69" s="87">
        <f>VLOOKUP(A69,'intereses desde el 71'!$A:$XFD,IF(A69&lt;Nuevo_Int_Sa,3,IF(Comercial_Sa="x",3,IF(Consumo_Sa="x",4,IF(Microcréd_Sa="x",5)))))</f>
        <v>0.197</v>
      </c>
      <c r="D69" s="4">
        <f t="shared" si="3"/>
        <v>0.021809143962671307</v>
      </c>
      <c r="E69" s="53">
        <f t="shared" si="4"/>
        <v>0.021809143962671307</v>
      </c>
      <c r="F69" s="20"/>
      <c r="G69" s="19">
        <f t="shared" si="6"/>
        <v>15658137</v>
      </c>
      <c r="H69" s="6">
        <f t="shared" si="7"/>
        <v>30</v>
      </c>
      <c r="I69" s="15">
        <f t="shared" si="8"/>
        <v>341490.5640202302</v>
      </c>
    </row>
    <row r="70" spans="1:9" ht="12.75" hidden="1">
      <c r="A70" s="93">
        <f t="shared" si="5"/>
        <v>43525</v>
      </c>
      <c r="B70" s="93">
        <f t="shared" si="2"/>
        <v>43555</v>
      </c>
      <c r="C70" s="87">
        <f>VLOOKUP(A70,'intereses desde el 71'!$A:$XFD,IF(A70&lt;Nuevo_Int_Sa,3,IF(Comercial_Sa="x",3,IF(Consumo_Sa="x",4,IF(Microcréd_Sa="x",5)))))</f>
        <v>0.193</v>
      </c>
      <c r="D70" s="4">
        <f t="shared" si="3"/>
        <v>0.02141393569895156</v>
      </c>
      <c r="E70" s="53">
        <f t="shared" si="4"/>
        <v>0.02141393569895156</v>
      </c>
      <c r="F70" s="20"/>
      <c r="G70" s="19">
        <f t="shared" si="6"/>
        <v>15658137</v>
      </c>
      <c r="H70" s="6">
        <f t="shared" si="7"/>
        <v>30</v>
      </c>
      <c r="I70" s="15">
        <f t="shared" si="8"/>
        <v>335302.33888337424</v>
      </c>
    </row>
    <row r="71" spans="1:9" ht="12.75" hidden="1">
      <c r="A71" s="93">
        <f t="shared" si="5"/>
        <v>43556</v>
      </c>
      <c r="B71" s="93">
        <f t="shared" si="2"/>
        <v>43585</v>
      </c>
      <c r="C71" s="87">
        <f>VLOOKUP(A71,'intereses desde el 71'!$A:$XFD,IF(A71&lt;Nuevo_Int_Sa,3,IF(Comercial_Sa="x",3,IF(Consumo_Sa="x",4,IF(Microcréd_Sa="x",5)))))</f>
        <v>0.1932</v>
      </c>
      <c r="D71" s="4">
        <f t="shared" si="3"/>
        <v>0.02143373610682331</v>
      </c>
      <c r="E71" s="53">
        <f t="shared" si="4"/>
        <v>0.02143373610682331</v>
      </c>
      <c r="F71" s="20"/>
      <c r="G71" s="19">
        <f t="shared" si="6"/>
        <v>15658137</v>
      </c>
      <c r="H71" s="6">
        <f t="shared" si="7"/>
        <v>30</v>
      </c>
      <c r="I71" s="15">
        <f t="shared" si="8"/>
        <v>335612.376382486</v>
      </c>
    </row>
    <row r="72" spans="1:9" ht="12.75" hidden="1">
      <c r="A72" s="93">
        <f t="shared" si="5"/>
        <v>43586</v>
      </c>
      <c r="B72" s="93">
        <f t="shared" si="2"/>
        <v>43616</v>
      </c>
      <c r="C72" s="87">
        <f>VLOOKUP(A72,'intereses desde el 71'!$A:$XFD,IF(A72&lt;Nuevo_Int_Sa,3,IF(Comercial_Sa="x",3,IF(Consumo_Sa="x",4,IF(Microcréd_Sa="x",5)))))</f>
        <v>0.1934</v>
      </c>
      <c r="D72" s="4">
        <f t="shared" si="3"/>
        <v>0.021453532293473465</v>
      </c>
      <c r="E72" s="53">
        <f t="shared" si="4"/>
        <v>0.021453532293473465</v>
      </c>
      <c r="F72" s="20"/>
      <c r="G72" s="19">
        <f t="shared" si="6"/>
        <v>15658137</v>
      </c>
      <c r="H72" s="6">
        <f t="shared" si="7"/>
        <v>30</v>
      </c>
      <c r="I72" s="15">
        <f t="shared" si="8"/>
        <v>335922.3477851317</v>
      </c>
    </row>
    <row r="73" spans="1:9" ht="12.75" hidden="1">
      <c r="A73" s="93">
        <f t="shared" si="5"/>
        <v>43617</v>
      </c>
      <c r="B73" s="93">
        <f t="shared" si="2"/>
        <v>43646</v>
      </c>
      <c r="C73" s="87">
        <f>VLOOKUP(A73,'intereses desde el 71'!$A:$XFD,IF(A73&lt;Nuevo_Int_Sa,3,IF(Comercial_Sa="x",3,IF(Consumo_Sa="x",4,IF(Microcréd_Sa="x",5)))))</f>
        <v>0.193</v>
      </c>
      <c r="D73" s="4">
        <f t="shared" si="3"/>
        <v>0.02141393569895156</v>
      </c>
      <c r="E73" s="53">
        <f t="shared" si="4"/>
        <v>0.02141393569895156</v>
      </c>
      <c r="F73" s="20"/>
      <c r="G73" s="19">
        <f t="shared" si="6"/>
        <v>15658137</v>
      </c>
      <c r="H73" s="6">
        <f t="shared" si="7"/>
        <v>30</v>
      </c>
      <c r="I73" s="15">
        <f t="shared" si="8"/>
        <v>335302.33888337424</v>
      </c>
    </row>
    <row r="74" spans="1:9" ht="12.75" hidden="1">
      <c r="A74" s="93">
        <f t="shared" si="5"/>
        <v>43647</v>
      </c>
      <c r="B74" s="93">
        <f t="shared" si="2"/>
        <v>43677</v>
      </c>
      <c r="C74" s="87">
        <f>VLOOKUP(A74,'intereses desde el 71'!$A:$XFD,IF(A74&lt;Nuevo_Int_Sa,3,IF(Comercial_Sa="x",3,IF(Consumo_Sa="x",4,IF(Microcréd_Sa="x",5)))))</f>
        <v>0.1928</v>
      </c>
      <c r="D74" s="4">
        <f t="shared" si="3"/>
        <v>0.021394131067975497</v>
      </c>
      <c r="E74" s="53">
        <f t="shared" si="4"/>
        <v>0.021394131067975497</v>
      </c>
      <c r="F74" s="20"/>
      <c r="G74" s="19">
        <f t="shared" si="6"/>
        <v>15658137</v>
      </c>
      <c r="H74" s="6">
        <f t="shared" si="7"/>
        <v>30</v>
      </c>
      <c r="I74" s="15">
        <f t="shared" si="8"/>
        <v>334992.2352583166</v>
      </c>
    </row>
    <row r="75" spans="1:9" ht="12.75" hidden="1">
      <c r="A75" s="93">
        <f t="shared" si="5"/>
        <v>43678</v>
      </c>
      <c r="B75" s="93">
        <f t="shared" si="2"/>
        <v>43708</v>
      </c>
      <c r="C75" s="87">
        <f>VLOOKUP(A75,'intereses desde el 71'!$A:$XFD,IF(A75&lt;Nuevo_Int_Sa,3,IF(Comercial_Sa="x",3,IF(Consumo_Sa="x",4,IF(Microcréd_Sa="x",5)))))</f>
        <v>0.1932</v>
      </c>
      <c r="D75" s="4">
        <f t="shared" si="3"/>
        <v>0.02143373610682331</v>
      </c>
      <c r="E75" s="53">
        <f t="shared" si="4"/>
        <v>0.02143373610682331</v>
      </c>
      <c r="F75" s="20"/>
      <c r="G75" s="19">
        <f t="shared" si="6"/>
        <v>15658137</v>
      </c>
      <c r="H75" s="6">
        <f t="shared" si="7"/>
        <v>30</v>
      </c>
      <c r="I75" s="15">
        <f t="shared" si="8"/>
        <v>335612.376382486</v>
      </c>
    </row>
    <row r="76" spans="1:9" ht="12.75" hidden="1">
      <c r="A76" s="93">
        <f t="shared" si="5"/>
        <v>43709</v>
      </c>
      <c r="B76" s="93">
        <f t="shared" si="2"/>
        <v>43738</v>
      </c>
      <c r="C76" s="87">
        <f>VLOOKUP(A76,'intereses desde el 71'!$A:$XFD,IF(A76&lt;Nuevo_Int_Sa,3,IF(Comercial_Sa="x",3,IF(Consumo_Sa="x",4,IF(Microcréd_Sa="x",5)))))</f>
        <v>0.1932</v>
      </c>
      <c r="D76" s="4">
        <f t="shared" si="3"/>
        <v>0.02143373610682331</v>
      </c>
      <c r="E76" s="53">
        <f t="shared" si="4"/>
        <v>0.02143373610682331</v>
      </c>
      <c r="F76" s="20"/>
      <c r="G76" s="19">
        <f t="shared" si="6"/>
        <v>15658137</v>
      </c>
      <c r="H76" s="6">
        <f t="shared" si="7"/>
        <v>30</v>
      </c>
      <c r="I76" s="15">
        <f t="shared" si="8"/>
        <v>335612.376382486</v>
      </c>
    </row>
    <row r="77" spans="1:9" ht="12.75" hidden="1">
      <c r="A77" s="93">
        <f t="shared" si="5"/>
        <v>43739</v>
      </c>
      <c r="B77" s="93">
        <f t="shared" si="2"/>
        <v>43769</v>
      </c>
      <c r="C77" s="87">
        <f>VLOOKUP(A77,'intereses desde el 71'!$A:$XFD,IF(A77&lt;Nuevo_Int_Sa,3,IF(Comercial_Sa="x",3,IF(Consumo_Sa="x",4,IF(Microcréd_Sa="x",5)))))</f>
        <v>0.191</v>
      </c>
      <c r="D77" s="4">
        <f t="shared" si="3"/>
        <v>0.02121569903825793</v>
      </c>
      <c r="E77" s="53">
        <f t="shared" si="4"/>
        <v>0.02121569903825793</v>
      </c>
      <c r="F77" s="20"/>
      <c r="G77" s="19">
        <f t="shared" si="6"/>
        <v>15658137</v>
      </c>
      <c r="H77" s="6">
        <f t="shared" si="7"/>
        <v>30</v>
      </c>
      <c r="I77" s="15">
        <f t="shared" si="8"/>
        <v>332198.3220918109</v>
      </c>
    </row>
    <row r="78" spans="1:9" ht="12.75" hidden="1">
      <c r="A78" s="93">
        <f t="shared" si="5"/>
        <v>43770</v>
      </c>
      <c r="B78" s="93">
        <f t="shared" si="2"/>
        <v>43799</v>
      </c>
      <c r="C78" s="87">
        <f>VLOOKUP(A78,'intereses desde el 71'!$A:$XFD,IF(A78&lt;Nuevo_Int_Sa,3,IF(Comercial_Sa="x",3,IF(Consumo_Sa="x",4,IF(Microcréd_Sa="x",5)))))</f>
        <v>0.1903</v>
      </c>
      <c r="D78" s="4">
        <f t="shared" si="3"/>
        <v>0.021146216086632474</v>
      </c>
      <c r="E78" s="53">
        <f t="shared" si="4"/>
        <v>0.021146216086632474</v>
      </c>
      <c r="F78" s="20"/>
      <c r="G78" s="19">
        <f t="shared" si="6"/>
        <v>15658137</v>
      </c>
      <c r="H78" s="6">
        <f t="shared" si="7"/>
        <v>30</v>
      </c>
      <c r="I78" s="15">
        <f t="shared" si="8"/>
        <v>331110.34851609514</v>
      </c>
    </row>
    <row r="79" spans="1:9" ht="12.75" hidden="1">
      <c r="A79" s="93">
        <f t="shared" si="5"/>
        <v>43800</v>
      </c>
      <c r="B79" s="93">
        <f t="shared" si="2"/>
        <v>43830</v>
      </c>
      <c r="C79" s="87">
        <f>VLOOKUP(A79,'intereses desde el 71'!$A:$XFD,IF(A79&lt;Nuevo_Int_Sa,3,IF(Comercial_Sa="x",3,IF(Consumo_Sa="x",4,IF(Microcréd_Sa="x",5)))))</f>
        <v>0.1891</v>
      </c>
      <c r="D79" s="4">
        <f t="shared" si="3"/>
        <v>0.02102698132372427</v>
      </c>
      <c r="E79" s="53">
        <f t="shared" si="4"/>
        <v>0.02102698132372427</v>
      </c>
      <c r="F79" s="20"/>
      <c r="G79" s="19">
        <f t="shared" si="6"/>
        <v>15658137</v>
      </c>
      <c r="H79" s="6">
        <f t="shared" si="7"/>
        <v>30</v>
      </c>
      <c r="I79" s="15">
        <f t="shared" si="8"/>
        <v>329243.35426331597</v>
      </c>
    </row>
    <row r="80" spans="1:9" ht="12.75" hidden="1">
      <c r="A80" s="93">
        <f t="shared" si="5"/>
        <v>43831</v>
      </c>
      <c r="B80" s="93">
        <f t="shared" si="2"/>
        <v>43861</v>
      </c>
      <c r="C80" s="87">
        <f>VLOOKUP(A80,'intereses desde el 71'!$A:$XFD,IF(A80&lt;Nuevo_Int_Sa,3,IF(Comercial_Sa="x",3,IF(Consumo_Sa="x",4,IF(Microcréd_Sa="x",5)))))</f>
        <v>0.1877</v>
      </c>
      <c r="D80" s="4">
        <f t="shared" si="3"/>
        <v>0.020887680238021122</v>
      </c>
      <c r="E80" s="53">
        <f t="shared" si="4"/>
        <v>0.020887680238021122</v>
      </c>
      <c r="F80" s="20"/>
      <c r="G80" s="19">
        <f t="shared" si="6"/>
        <v>15658137</v>
      </c>
      <c r="H80" s="6">
        <f t="shared" si="7"/>
        <v>30</v>
      </c>
      <c r="I80" s="15">
        <f t="shared" si="8"/>
        <v>327062.15877912735</v>
      </c>
    </row>
    <row r="81" spans="1:9" ht="12.75" hidden="1">
      <c r="A81" s="93">
        <f t="shared" si="5"/>
        <v>43862</v>
      </c>
      <c r="B81" s="93">
        <f t="shared" si="2"/>
        <v>43890</v>
      </c>
      <c r="C81" s="87">
        <f>VLOOKUP(A81,'intereses desde el 71'!$A:$XFD,IF(A81&lt;Nuevo_Int_Sa,3,IF(Comercial_Sa="x",3,IF(Consumo_Sa="x",4,IF(Microcréd_Sa="x",5)))))</f>
        <v>0.1906</v>
      </c>
      <c r="D81" s="4">
        <f t="shared" si="3"/>
        <v>0.02117600086268867</v>
      </c>
      <c r="E81" s="53">
        <f t="shared" si="4"/>
        <v>0.02117600086268867</v>
      </c>
      <c r="F81" s="20"/>
      <c r="G81" s="19">
        <f t="shared" si="6"/>
        <v>15658137</v>
      </c>
      <c r="H81" s="6">
        <f t="shared" si="7"/>
        <v>30</v>
      </c>
      <c r="I81" s="15">
        <f t="shared" si="8"/>
        <v>331576.7226200974</v>
      </c>
    </row>
    <row r="82" spans="1:9" ht="12.75" hidden="1">
      <c r="A82" s="93">
        <f t="shared" si="5"/>
        <v>43891</v>
      </c>
      <c r="B82" s="93">
        <f t="shared" si="2"/>
        <v>43921</v>
      </c>
      <c r="C82" s="87">
        <f>VLOOKUP(A82,'intereses desde el 71'!$A:$XFD,IF(A82&lt;Nuevo_Int_Sa,3,IF(Comercial_Sa="x",3,IF(Consumo_Sa="x",4,IF(Microcréd_Sa="x",5)))))</f>
        <v>0.1895</v>
      </c>
      <c r="D82" s="4">
        <f t="shared" si="3"/>
        <v>0.021066743264638976</v>
      </c>
      <c r="E82" s="53">
        <f t="shared" si="4"/>
        <v>0.021066743264638976</v>
      </c>
      <c r="F82" s="20"/>
      <c r="G82" s="19">
        <f t="shared" si="6"/>
        <v>15658137</v>
      </c>
      <c r="H82" s="6">
        <f aca="true" t="shared" si="9" ref="H82:H113">IF(Colm_De&gt;Mora_Final,"",IF(A82="","",DAYS360(A82,B82+(1))))</f>
        <v>30</v>
      </c>
      <c r="I82" s="15">
        <f t="shared" si="8"/>
        <v>329865.95218154433</v>
      </c>
    </row>
    <row r="83" spans="1:9" ht="12.75" hidden="1">
      <c r="A83" s="93">
        <f t="shared" si="5"/>
        <v>43922</v>
      </c>
      <c r="B83" s="93">
        <f t="shared" si="2"/>
        <v>43951</v>
      </c>
      <c r="C83" s="87">
        <f>VLOOKUP(A83,'intereses desde el 71'!$A:$XFD,IF(A83&lt;Nuevo_Int_Sa,3,IF(Comercial_Sa="x",3,IF(Consumo_Sa="x",4,IF(Microcréd_Sa="x",5)))))</f>
        <v>0.1895</v>
      </c>
      <c r="D83" s="4">
        <f t="shared" si="3"/>
        <v>0.021066743264638976</v>
      </c>
      <c r="E83" s="53">
        <f t="shared" si="4"/>
        <v>0.021066743264638976</v>
      </c>
      <c r="F83" s="20"/>
      <c r="G83" s="19">
        <f t="shared" si="6"/>
        <v>15658137</v>
      </c>
      <c r="H83" s="6">
        <f t="shared" si="9"/>
        <v>30</v>
      </c>
      <c r="I83" s="15">
        <f aca="true" t="shared" si="10" ref="I83:I114">IF(Colm_De&gt;Mora_Final,"",IF(A83="","",((G83*E83)/30)*H83))</f>
        <v>329865.95218154433</v>
      </c>
    </row>
    <row r="84" spans="1:9" ht="12.75" hidden="1">
      <c r="A84" s="93">
        <f t="shared" si="5"/>
        <v>43952</v>
      </c>
      <c r="B84" s="93">
        <f aca="true" t="shared" si="11" ref="B84:B147">IF(AND(A84&gt;=Primar_Sa,A84&lt;=Catmar_Sa),DATE(YEAR(A84),MONTH(A84),14),IF(AND(A84&gt;=Nuevo_Int_Sa,A84&lt;=SgN_Int_Sa),DATE(YEAR(A84),MONTH(A84),4),IF(A84=DATE(YEAR(Mora_Final),MONTH(Mora_Final),DAY(1)),DATE(YEAR(Mora_Final),MONTH(Mora_Final),DAY(Mora_Final)),DATE(YEAR(A84),MONTH(A84)+1,))))</f>
        <v>43982</v>
      </c>
      <c r="C84" s="87">
        <f>VLOOKUP(A84,'intereses desde el 71'!$A:$XFD,IF(A84&lt;Nuevo_Int_Sa,3,IF(Comercial_Sa="x",3,IF(Consumo_Sa="x",4,IF(Microcréd_Sa="x",5)))))</f>
        <v>0.1895</v>
      </c>
      <c r="D84" s="4">
        <f aca="true" t="shared" si="12" ref="D84:D147">IF(A84="","",(POWER((1+(C84*D$18)),(1/12)))-1)</f>
        <v>0.021066743264638976</v>
      </c>
      <c r="E84" s="53">
        <f aca="true" t="shared" si="13" ref="E84:E147">IF(A84="","",IF(B84&lt;=G$7,MIN(D$9,D84),MIN(D$12,D84)))</f>
        <v>0.021066743264638976</v>
      </c>
      <c r="F84" s="20"/>
      <c r="G84" s="19">
        <f t="shared" si="6"/>
        <v>15658137</v>
      </c>
      <c r="H84" s="6">
        <f t="shared" si="9"/>
        <v>30</v>
      </c>
      <c r="I84" s="15">
        <f t="shared" si="10"/>
        <v>329865.95218154433</v>
      </c>
    </row>
    <row r="85" spans="1:9" ht="12.75" hidden="1">
      <c r="A85" s="93">
        <f aca="true" t="shared" si="14" ref="A85:A148">DATE(YEAR(B84),MONTH(B84),DAY(B84)+1)</f>
        <v>43983</v>
      </c>
      <c r="B85" s="93">
        <f t="shared" si="11"/>
        <v>43991</v>
      </c>
      <c r="C85" s="87">
        <f>VLOOKUP(A85,'intereses desde el 71'!$A:$XFD,IF(A85&lt;Nuevo_Int_Sa,3,IF(Comercial_Sa="x",3,IF(Consumo_Sa="x",4,IF(Microcréd_Sa="x",5)))))</f>
        <v>0.1895</v>
      </c>
      <c r="D85" s="4">
        <f t="shared" si="12"/>
        <v>0.021066743264638976</v>
      </c>
      <c r="E85" s="53">
        <f t="shared" si="13"/>
        <v>0.021066743264638976</v>
      </c>
      <c r="F85" s="20"/>
      <c r="G85" s="19">
        <f aca="true" t="shared" si="15" ref="G85:G148">IF(A85="","",G84+F85)</f>
        <v>15658137</v>
      </c>
      <c r="H85" s="6">
        <f t="shared" si="9"/>
        <v>9</v>
      </c>
      <c r="I85" s="15">
        <f t="shared" si="10"/>
        <v>98959.7856544633</v>
      </c>
    </row>
    <row r="86" spans="1:9" ht="12.75" hidden="1">
      <c r="A86" s="93">
        <f t="shared" si="14"/>
        <v>43992</v>
      </c>
      <c r="B86" s="93">
        <f t="shared" si="11"/>
        <v>44012</v>
      </c>
      <c r="C86" s="87">
        <f>VLOOKUP(A86,'intereses desde el 71'!$A:$XFD,IF(A86&lt;Nuevo_Int_Sa,3,IF(Comercial_Sa="x",3,IF(Consumo_Sa="x",4,IF(Microcréd_Sa="x",5)))))</f>
        <v>0.1895</v>
      </c>
      <c r="D86" s="4">
        <f t="shared" si="12"/>
        <v>0.021066743264638976</v>
      </c>
      <c r="E86" s="53">
        <f t="shared" si="13"/>
        <v>0.021066743264638976</v>
      </c>
      <c r="F86" s="20"/>
      <c r="G86" s="19">
        <f t="shared" si="15"/>
        <v>15658137</v>
      </c>
      <c r="H86" s="6">
        <f t="shared" si="9"/>
      </c>
      <c r="I86" s="15">
        <f t="shared" si="10"/>
      </c>
    </row>
    <row r="87" spans="1:9" ht="12.75" hidden="1">
      <c r="A87" s="93">
        <f t="shared" si="14"/>
        <v>44013</v>
      </c>
      <c r="B87" s="93">
        <f t="shared" si="11"/>
        <v>44043</v>
      </c>
      <c r="C87" s="87">
        <f>VLOOKUP(A87,'intereses desde el 71'!$A:$XFD,IF(A87&lt;Nuevo_Int_Sa,3,IF(Comercial_Sa="x",3,IF(Consumo_Sa="x",4,IF(Microcréd_Sa="x",5)))))</f>
        <v>0.1895</v>
      </c>
      <c r="D87" s="4">
        <f t="shared" si="12"/>
        <v>0.021066743264638976</v>
      </c>
      <c r="E87" s="53">
        <f t="shared" si="13"/>
        <v>0.021066743264638976</v>
      </c>
      <c r="F87" s="20"/>
      <c r="G87" s="19">
        <f t="shared" si="15"/>
        <v>15658137</v>
      </c>
      <c r="H87" s="6">
        <f t="shared" si="9"/>
      </c>
      <c r="I87" s="15">
        <f t="shared" si="10"/>
      </c>
    </row>
    <row r="88" spans="1:9" ht="12.75" hidden="1">
      <c r="A88" s="93">
        <f t="shared" si="14"/>
        <v>44044</v>
      </c>
      <c r="B88" s="93">
        <f t="shared" si="11"/>
        <v>44074</v>
      </c>
      <c r="C88" s="87">
        <f>VLOOKUP(A88,'intereses desde el 71'!$A:$XFD,IF(A88&lt;Nuevo_Int_Sa,3,IF(Comercial_Sa="x",3,IF(Consumo_Sa="x",4,IF(Microcréd_Sa="x",5)))))</f>
        <v>0.1895</v>
      </c>
      <c r="D88" s="4">
        <f t="shared" si="12"/>
        <v>0.021066743264638976</v>
      </c>
      <c r="E88" s="53">
        <f t="shared" si="13"/>
        <v>0.021066743264638976</v>
      </c>
      <c r="F88" s="20"/>
      <c r="G88" s="19">
        <f t="shared" si="15"/>
        <v>15658137</v>
      </c>
      <c r="H88" s="6">
        <f t="shared" si="9"/>
      </c>
      <c r="I88" s="15">
        <f t="shared" si="10"/>
      </c>
    </row>
    <row r="89" spans="1:9" ht="12.75" hidden="1">
      <c r="A89" s="93">
        <f t="shared" si="14"/>
        <v>44075</v>
      </c>
      <c r="B89" s="93">
        <f t="shared" si="11"/>
        <v>44104</v>
      </c>
      <c r="C89" s="87">
        <f>VLOOKUP(A89,'intereses desde el 71'!$A:$XFD,IF(A89&lt;Nuevo_Int_Sa,3,IF(Comercial_Sa="x",3,IF(Consumo_Sa="x",4,IF(Microcréd_Sa="x",5)))))</f>
        <v>0.1895</v>
      </c>
      <c r="D89" s="4">
        <f t="shared" si="12"/>
        <v>0.021066743264638976</v>
      </c>
      <c r="E89" s="53">
        <f t="shared" si="13"/>
        <v>0.021066743264638976</v>
      </c>
      <c r="F89" s="20"/>
      <c r="G89" s="19">
        <f t="shared" si="15"/>
        <v>15658137</v>
      </c>
      <c r="H89" s="6">
        <f t="shared" si="9"/>
      </c>
      <c r="I89" s="15">
        <f t="shared" si="10"/>
      </c>
    </row>
    <row r="90" spans="1:9" ht="12.75" hidden="1">
      <c r="A90" s="93">
        <f t="shared" si="14"/>
        <v>44105</v>
      </c>
      <c r="B90" s="93">
        <f t="shared" si="11"/>
        <v>44135</v>
      </c>
      <c r="C90" s="87">
        <f>VLOOKUP(A90,'intereses desde el 71'!$A:$XFD,IF(A90&lt;Nuevo_Int_Sa,3,IF(Comercial_Sa="x",3,IF(Consumo_Sa="x",4,IF(Microcréd_Sa="x",5)))))</f>
        <v>0.1895</v>
      </c>
      <c r="D90" s="4">
        <f t="shared" si="12"/>
        <v>0.021066743264638976</v>
      </c>
      <c r="E90" s="53">
        <f t="shared" si="13"/>
        <v>0.021066743264638976</v>
      </c>
      <c r="F90" s="20"/>
      <c r="G90" s="19">
        <f t="shared" si="15"/>
        <v>15658137</v>
      </c>
      <c r="H90" s="6">
        <f t="shared" si="9"/>
      </c>
      <c r="I90" s="15">
        <f t="shared" si="10"/>
      </c>
    </row>
    <row r="91" spans="1:9" ht="12.75" hidden="1">
      <c r="A91" s="93">
        <f t="shared" si="14"/>
        <v>44136</v>
      </c>
      <c r="B91" s="93">
        <f t="shared" si="11"/>
        <v>44165</v>
      </c>
      <c r="C91" s="87">
        <f>VLOOKUP(A91,'intereses desde el 71'!$A:$XFD,IF(A91&lt;Nuevo_Int_Sa,3,IF(Comercial_Sa="x",3,IF(Consumo_Sa="x",4,IF(Microcréd_Sa="x",5)))))</f>
        <v>0.1895</v>
      </c>
      <c r="D91" s="4">
        <f t="shared" si="12"/>
        <v>0.021066743264638976</v>
      </c>
      <c r="E91" s="53">
        <f t="shared" si="13"/>
        <v>0.021066743264638976</v>
      </c>
      <c r="F91" s="20"/>
      <c r="G91" s="19">
        <f t="shared" si="15"/>
        <v>15658137</v>
      </c>
      <c r="H91" s="6">
        <f t="shared" si="9"/>
      </c>
      <c r="I91" s="15">
        <f t="shared" si="10"/>
      </c>
    </row>
    <row r="92" spans="1:9" ht="12.75" hidden="1">
      <c r="A92" s="93">
        <f t="shared" si="14"/>
        <v>44166</v>
      </c>
      <c r="B92" s="93">
        <f t="shared" si="11"/>
        <v>44196</v>
      </c>
      <c r="C92" s="87">
        <f>VLOOKUP(A92,'intereses desde el 71'!$A:$XFD,IF(A92&lt;Nuevo_Int_Sa,3,IF(Comercial_Sa="x",3,IF(Consumo_Sa="x",4,IF(Microcréd_Sa="x",5)))))</f>
        <v>0.1895</v>
      </c>
      <c r="D92" s="4">
        <f t="shared" si="12"/>
        <v>0.021066743264638976</v>
      </c>
      <c r="E92" s="53">
        <f t="shared" si="13"/>
        <v>0.021066743264638976</v>
      </c>
      <c r="F92" s="20"/>
      <c r="G92" s="19">
        <f t="shared" si="15"/>
        <v>15658137</v>
      </c>
      <c r="H92" s="6">
        <f t="shared" si="9"/>
      </c>
      <c r="I92" s="15">
        <f t="shared" si="10"/>
      </c>
    </row>
    <row r="93" spans="1:9" ht="12.75" hidden="1">
      <c r="A93" s="93">
        <f t="shared" si="14"/>
        <v>44197</v>
      </c>
      <c r="B93" s="93">
        <f t="shared" si="11"/>
        <v>44227</v>
      </c>
      <c r="C93" s="87">
        <f>VLOOKUP(A93,'intereses desde el 71'!$A:$XFD,IF(A93&lt;Nuevo_Int_Sa,3,IF(Comercial_Sa="x",3,IF(Consumo_Sa="x",4,IF(Microcréd_Sa="x",5)))))</f>
        <v>0.1895</v>
      </c>
      <c r="D93" s="4">
        <f t="shared" si="12"/>
        <v>0.021066743264638976</v>
      </c>
      <c r="E93" s="53">
        <f t="shared" si="13"/>
        <v>0.021066743264638976</v>
      </c>
      <c r="F93" s="20"/>
      <c r="G93" s="19">
        <f t="shared" si="15"/>
        <v>15658137</v>
      </c>
      <c r="H93" s="6">
        <f t="shared" si="9"/>
      </c>
      <c r="I93" s="15">
        <f t="shared" si="10"/>
      </c>
    </row>
    <row r="94" spans="1:9" ht="12.75" hidden="1">
      <c r="A94" s="93">
        <f t="shared" si="14"/>
        <v>44228</v>
      </c>
      <c r="B94" s="93">
        <f t="shared" si="11"/>
        <v>44255</v>
      </c>
      <c r="C94" s="87">
        <f>VLOOKUP(A94,'intereses desde el 71'!$A:$XFD,IF(A94&lt;Nuevo_Int_Sa,3,IF(Comercial_Sa="x",3,IF(Consumo_Sa="x",4,IF(Microcréd_Sa="x",5)))))</f>
        <v>0.1895</v>
      </c>
      <c r="D94" s="4">
        <f t="shared" si="12"/>
        <v>0.021066743264638976</v>
      </c>
      <c r="E94" s="53">
        <f t="shared" si="13"/>
        <v>0.021066743264638976</v>
      </c>
      <c r="F94" s="20"/>
      <c r="G94" s="19">
        <f t="shared" si="15"/>
        <v>15658137</v>
      </c>
      <c r="H94" s="6">
        <f t="shared" si="9"/>
      </c>
      <c r="I94" s="15">
        <f t="shared" si="10"/>
      </c>
    </row>
    <row r="95" spans="1:9" ht="12.75" hidden="1">
      <c r="A95" s="93">
        <f t="shared" si="14"/>
        <v>44256</v>
      </c>
      <c r="B95" s="93">
        <f t="shared" si="11"/>
        <v>44286</v>
      </c>
      <c r="C95" s="87">
        <f>VLOOKUP(A95,'intereses desde el 71'!$A:$XFD,IF(A95&lt;Nuevo_Int_Sa,3,IF(Comercial_Sa="x",3,IF(Consumo_Sa="x",4,IF(Microcréd_Sa="x",5)))))</f>
        <v>0.1895</v>
      </c>
      <c r="D95" s="4">
        <f t="shared" si="12"/>
        <v>0.021066743264638976</v>
      </c>
      <c r="E95" s="53">
        <f t="shared" si="13"/>
        <v>0.021066743264638976</v>
      </c>
      <c r="F95" s="20"/>
      <c r="G95" s="19">
        <f t="shared" si="15"/>
        <v>15658137</v>
      </c>
      <c r="H95" s="6">
        <f t="shared" si="9"/>
      </c>
      <c r="I95" s="15">
        <f t="shared" si="10"/>
      </c>
    </row>
    <row r="96" spans="1:9" ht="12.75" hidden="1">
      <c r="A96" s="93">
        <f t="shared" si="14"/>
        <v>44287</v>
      </c>
      <c r="B96" s="93">
        <f t="shared" si="11"/>
        <v>44316</v>
      </c>
      <c r="C96" s="87">
        <f>VLOOKUP(A96,'intereses desde el 71'!$A:$XFD,IF(A96&lt;Nuevo_Int_Sa,3,IF(Comercial_Sa="x",3,IF(Consumo_Sa="x",4,IF(Microcréd_Sa="x",5)))))</f>
        <v>0.1895</v>
      </c>
      <c r="D96" s="4">
        <f t="shared" si="12"/>
        <v>0.021066743264638976</v>
      </c>
      <c r="E96" s="53">
        <f t="shared" si="13"/>
        <v>0.021066743264638976</v>
      </c>
      <c r="F96" s="20"/>
      <c r="G96" s="19">
        <f t="shared" si="15"/>
        <v>15658137</v>
      </c>
      <c r="H96" s="6">
        <f t="shared" si="9"/>
      </c>
      <c r="I96" s="15">
        <f t="shared" si="10"/>
      </c>
    </row>
    <row r="97" spans="1:9" ht="12.75" hidden="1">
      <c r="A97" s="93">
        <f t="shared" si="14"/>
        <v>44317</v>
      </c>
      <c r="B97" s="93">
        <f t="shared" si="11"/>
        <v>44347</v>
      </c>
      <c r="C97" s="87">
        <f>VLOOKUP(A97,'intereses desde el 71'!$A:$XFD,IF(A97&lt;Nuevo_Int_Sa,3,IF(Comercial_Sa="x",3,IF(Consumo_Sa="x",4,IF(Microcréd_Sa="x",5)))))</f>
        <v>0.1895</v>
      </c>
      <c r="D97" s="4">
        <f t="shared" si="12"/>
        <v>0.021066743264638976</v>
      </c>
      <c r="E97" s="53">
        <f t="shared" si="13"/>
        <v>0.021066743264638976</v>
      </c>
      <c r="F97" s="20"/>
      <c r="G97" s="19">
        <f t="shared" si="15"/>
        <v>15658137</v>
      </c>
      <c r="H97" s="6">
        <f t="shared" si="9"/>
      </c>
      <c r="I97" s="15">
        <f t="shared" si="10"/>
      </c>
    </row>
    <row r="98" spans="1:9" ht="12.75" hidden="1">
      <c r="A98" s="93">
        <f t="shared" si="14"/>
        <v>44348</v>
      </c>
      <c r="B98" s="93">
        <f t="shared" si="11"/>
        <v>44377</v>
      </c>
      <c r="C98" s="87">
        <f>VLOOKUP(A98,'intereses desde el 71'!$A:$XFD,IF(A98&lt;Nuevo_Int_Sa,3,IF(Comercial_Sa="x",3,IF(Consumo_Sa="x",4,IF(Microcréd_Sa="x",5)))))</f>
        <v>0.1895</v>
      </c>
      <c r="D98" s="4">
        <f t="shared" si="12"/>
        <v>0.021066743264638976</v>
      </c>
      <c r="E98" s="53">
        <f t="shared" si="13"/>
        <v>0.021066743264638976</v>
      </c>
      <c r="F98" s="20"/>
      <c r="G98" s="19">
        <f t="shared" si="15"/>
        <v>15658137</v>
      </c>
      <c r="H98" s="6">
        <f t="shared" si="9"/>
      </c>
      <c r="I98" s="15">
        <f t="shared" si="10"/>
      </c>
    </row>
    <row r="99" spans="1:9" ht="12.75" hidden="1">
      <c r="A99" s="93">
        <f t="shared" si="14"/>
        <v>44378</v>
      </c>
      <c r="B99" s="93">
        <f t="shared" si="11"/>
        <v>44408</v>
      </c>
      <c r="C99" s="87">
        <f>VLOOKUP(A99,'intereses desde el 71'!$A:$XFD,IF(A99&lt;Nuevo_Int_Sa,3,IF(Comercial_Sa="x",3,IF(Consumo_Sa="x",4,IF(Microcréd_Sa="x",5)))))</f>
        <v>0.1895</v>
      </c>
      <c r="D99" s="4">
        <f t="shared" si="12"/>
        <v>0.021066743264638976</v>
      </c>
      <c r="E99" s="53">
        <f t="shared" si="13"/>
        <v>0.021066743264638976</v>
      </c>
      <c r="F99" s="20"/>
      <c r="G99" s="19">
        <f t="shared" si="15"/>
        <v>15658137</v>
      </c>
      <c r="H99" s="6">
        <f t="shared" si="9"/>
      </c>
      <c r="I99" s="15">
        <f t="shared" si="10"/>
      </c>
    </row>
    <row r="100" spans="1:9" ht="12.75" hidden="1">
      <c r="A100" s="93">
        <f t="shared" si="14"/>
        <v>44409</v>
      </c>
      <c r="B100" s="93">
        <f t="shared" si="11"/>
        <v>44439</v>
      </c>
      <c r="C100" s="87">
        <f>VLOOKUP(A100,'intereses desde el 71'!$A:$XFD,IF(A100&lt;Nuevo_Int_Sa,3,IF(Comercial_Sa="x",3,IF(Consumo_Sa="x",4,IF(Microcréd_Sa="x",5)))))</f>
        <v>0.1895</v>
      </c>
      <c r="D100" s="4">
        <f t="shared" si="12"/>
        <v>0.021066743264638976</v>
      </c>
      <c r="E100" s="53">
        <f t="shared" si="13"/>
        <v>0.021066743264638976</v>
      </c>
      <c r="F100" s="20"/>
      <c r="G100" s="19">
        <f t="shared" si="15"/>
        <v>15658137</v>
      </c>
      <c r="H100" s="6">
        <f t="shared" si="9"/>
      </c>
      <c r="I100" s="15">
        <f t="shared" si="10"/>
      </c>
    </row>
    <row r="101" spans="1:9" ht="12.75" hidden="1">
      <c r="A101" s="93">
        <f t="shared" si="14"/>
        <v>44440</v>
      </c>
      <c r="B101" s="93">
        <f t="shared" si="11"/>
        <v>44469</v>
      </c>
      <c r="C101" s="87">
        <f>VLOOKUP(A101,'intereses desde el 71'!$A:$XFD,IF(A101&lt;Nuevo_Int_Sa,3,IF(Comercial_Sa="x",3,IF(Consumo_Sa="x",4,IF(Microcréd_Sa="x",5)))))</f>
        <v>0.1895</v>
      </c>
      <c r="D101" s="4">
        <f t="shared" si="12"/>
        <v>0.021066743264638976</v>
      </c>
      <c r="E101" s="53">
        <f t="shared" si="13"/>
        <v>0.021066743264638976</v>
      </c>
      <c r="F101" s="20"/>
      <c r="G101" s="19">
        <f t="shared" si="15"/>
        <v>15658137</v>
      </c>
      <c r="H101" s="6">
        <f t="shared" si="9"/>
      </c>
      <c r="I101" s="15">
        <f t="shared" si="10"/>
      </c>
    </row>
    <row r="102" spans="1:9" ht="12.75" hidden="1">
      <c r="A102" s="93">
        <f t="shared" si="14"/>
        <v>44470</v>
      </c>
      <c r="B102" s="93">
        <f t="shared" si="11"/>
        <v>44500</v>
      </c>
      <c r="C102" s="87">
        <f>VLOOKUP(A102,'intereses desde el 71'!$A:$XFD,IF(A102&lt;Nuevo_Int_Sa,3,IF(Comercial_Sa="x",3,IF(Consumo_Sa="x",4,IF(Microcréd_Sa="x",5)))))</f>
        <v>0.1895</v>
      </c>
      <c r="D102" s="4">
        <f t="shared" si="12"/>
        <v>0.021066743264638976</v>
      </c>
      <c r="E102" s="53">
        <f t="shared" si="13"/>
        <v>0.021066743264638976</v>
      </c>
      <c r="F102" s="20"/>
      <c r="G102" s="19">
        <f t="shared" si="15"/>
        <v>15658137</v>
      </c>
      <c r="H102" s="6">
        <f t="shared" si="9"/>
      </c>
      <c r="I102" s="15">
        <f t="shared" si="10"/>
      </c>
    </row>
    <row r="103" spans="1:9" ht="12.75" hidden="1">
      <c r="A103" s="93">
        <f t="shared" si="14"/>
        <v>44501</v>
      </c>
      <c r="B103" s="93">
        <f t="shared" si="11"/>
        <v>44530</v>
      </c>
      <c r="C103" s="87">
        <f>VLOOKUP(A103,'intereses desde el 71'!$A:$XFD,IF(A103&lt;Nuevo_Int_Sa,3,IF(Comercial_Sa="x",3,IF(Consumo_Sa="x",4,IF(Microcréd_Sa="x",5)))))</f>
        <v>0.1895</v>
      </c>
      <c r="D103" s="4">
        <f t="shared" si="12"/>
        <v>0.021066743264638976</v>
      </c>
      <c r="E103" s="53">
        <f t="shared" si="13"/>
        <v>0.021066743264638976</v>
      </c>
      <c r="F103" s="20"/>
      <c r="G103" s="19">
        <f t="shared" si="15"/>
        <v>15658137</v>
      </c>
      <c r="H103" s="6">
        <f t="shared" si="9"/>
      </c>
      <c r="I103" s="15">
        <f t="shared" si="10"/>
      </c>
    </row>
    <row r="104" spans="1:9" ht="12.75" hidden="1">
      <c r="A104" s="93">
        <f t="shared" si="14"/>
        <v>44531</v>
      </c>
      <c r="B104" s="93">
        <f t="shared" si="11"/>
        <v>44561</v>
      </c>
      <c r="C104" s="87">
        <f>VLOOKUP(A104,'intereses desde el 71'!$A:$XFD,IF(A104&lt;Nuevo_Int_Sa,3,IF(Comercial_Sa="x",3,IF(Consumo_Sa="x",4,IF(Microcréd_Sa="x",5)))))</f>
        <v>0.1895</v>
      </c>
      <c r="D104" s="4">
        <f t="shared" si="12"/>
        <v>0.021066743264638976</v>
      </c>
      <c r="E104" s="53">
        <f t="shared" si="13"/>
        <v>0.021066743264638976</v>
      </c>
      <c r="F104" s="20"/>
      <c r="G104" s="19">
        <f t="shared" si="15"/>
        <v>15658137</v>
      </c>
      <c r="H104" s="6">
        <f t="shared" si="9"/>
      </c>
      <c r="I104" s="15">
        <f t="shared" si="10"/>
      </c>
    </row>
    <row r="105" spans="1:9" ht="12.75" hidden="1">
      <c r="A105" s="93">
        <f t="shared" si="14"/>
        <v>44562</v>
      </c>
      <c r="B105" s="93">
        <f t="shared" si="11"/>
        <v>44592</v>
      </c>
      <c r="C105" s="87">
        <f>VLOOKUP(A105,'intereses desde el 71'!$A:$XFD,IF(A105&lt;Nuevo_Int_Sa,3,IF(Comercial_Sa="x",3,IF(Consumo_Sa="x",4,IF(Microcréd_Sa="x",5)))))</f>
        <v>0.1895</v>
      </c>
      <c r="D105" s="4">
        <f t="shared" si="12"/>
        <v>0.021066743264638976</v>
      </c>
      <c r="E105" s="53">
        <f t="shared" si="13"/>
        <v>0.021066743264638976</v>
      </c>
      <c r="F105" s="20"/>
      <c r="G105" s="19">
        <f t="shared" si="15"/>
        <v>15658137</v>
      </c>
      <c r="H105" s="6">
        <f t="shared" si="9"/>
      </c>
      <c r="I105" s="15">
        <f t="shared" si="10"/>
      </c>
    </row>
    <row r="106" spans="1:9" ht="12.75" hidden="1">
      <c r="A106" s="93">
        <f t="shared" si="14"/>
        <v>44593</v>
      </c>
      <c r="B106" s="93">
        <f t="shared" si="11"/>
        <v>44620</v>
      </c>
      <c r="C106" s="87">
        <f>VLOOKUP(A106,'intereses desde el 71'!$A:$XFD,IF(A106&lt;Nuevo_Int_Sa,3,IF(Comercial_Sa="x",3,IF(Consumo_Sa="x",4,IF(Microcréd_Sa="x",5)))))</f>
        <v>0.1895</v>
      </c>
      <c r="D106" s="4">
        <f t="shared" si="12"/>
        <v>0.021066743264638976</v>
      </c>
      <c r="E106" s="53">
        <f t="shared" si="13"/>
        <v>0.021066743264638976</v>
      </c>
      <c r="F106" s="20"/>
      <c r="G106" s="19">
        <f t="shared" si="15"/>
        <v>15658137</v>
      </c>
      <c r="H106" s="6">
        <f t="shared" si="9"/>
      </c>
      <c r="I106" s="15">
        <f t="shared" si="10"/>
      </c>
    </row>
    <row r="107" spans="1:9" ht="12.75" hidden="1">
      <c r="A107" s="93">
        <f t="shared" si="14"/>
        <v>44621</v>
      </c>
      <c r="B107" s="93">
        <f t="shared" si="11"/>
        <v>44651</v>
      </c>
      <c r="C107" s="87">
        <f>VLOOKUP(A107,'intereses desde el 71'!$A:$XFD,IF(A107&lt;Nuevo_Int_Sa,3,IF(Comercial_Sa="x",3,IF(Consumo_Sa="x",4,IF(Microcréd_Sa="x",5)))))</f>
        <v>0.1895</v>
      </c>
      <c r="D107" s="4">
        <f t="shared" si="12"/>
        <v>0.021066743264638976</v>
      </c>
      <c r="E107" s="53">
        <f t="shared" si="13"/>
        <v>0.021066743264638976</v>
      </c>
      <c r="F107" s="20"/>
      <c r="G107" s="19">
        <f t="shared" si="15"/>
        <v>15658137</v>
      </c>
      <c r="H107" s="6">
        <f t="shared" si="9"/>
      </c>
      <c r="I107" s="15">
        <f t="shared" si="10"/>
      </c>
    </row>
    <row r="108" spans="1:9" ht="12.75" hidden="1">
      <c r="A108" s="93">
        <f t="shared" si="14"/>
        <v>44652</v>
      </c>
      <c r="B108" s="93">
        <f t="shared" si="11"/>
        <v>44681</v>
      </c>
      <c r="C108" s="87">
        <f>VLOOKUP(A108,'intereses desde el 71'!$A:$XFD,IF(A108&lt;Nuevo_Int_Sa,3,IF(Comercial_Sa="x",3,IF(Consumo_Sa="x",4,IF(Microcréd_Sa="x",5)))))</f>
        <v>0.1895</v>
      </c>
      <c r="D108" s="4">
        <f t="shared" si="12"/>
        <v>0.021066743264638976</v>
      </c>
      <c r="E108" s="53">
        <f t="shared" si="13"/>
        <v>0.021066743264638976</v>
      </c>
      <c r="F108" s="20"/>
      <c r="G108" s="19">
        <f t="shared" si="15"/>
        <v>15658137</v>
      </c>
      <c r="H108" s="6">
        <f t="shared" si="9"/>
      </c>
      <c r="I108" s="15">
        <f t="shared" si="10"/>
      </c>
    </row>
    <row r="109" spans="1:9" ht="12.75" hidden="1">
      <c r="A109" s="93">
        <f t="shared" si="14"/>
        <v>44682</v>
      </c>
      <c r="B109" s="93">
        <f t="shared" si="11"/>
        <v>44712</v>
      </c>
      <c r="C109" s="87">
        <f>VLOOKUP(A109,'intereses desde el 71'!$A:$XFD,IF(A109&lt;Nuevo_Int_Sa,3,IF(Comercial_Sa="x",3,IF(Consumo_Sa="x",4,IF(Microcréd_Sa="x",5)))))</f>
        <v>0.1895</v>
      </c>
      <c r="D109" s="4">
        <f t="shared" si="12"/>
        <v>0.021066743264638976</v>
      </c>
      <c r="E109" s="53">
        <f t="shared" si="13"/>
        <v>0.021066743264638976</v>
      </c>
      <c r="F109" s="20"/>
      <c r="G109" s="19">
        <f t="shared" si="15"/>
        <v>15658137</v>
      </c>
      <c r="H109" s="6">
        <f t="shared" si="9"/>
      </c>
      <c r="I109" s="15">
        <f t="shared" si="10"/>
      </c>
    </row>
    <row r="110" spans="1:9" ht="12.75" hidden="1">
      <c r="A110" s="93">
        <f t="shared" si="14"/>
        <v>44713</v>
      </c>
      <c r="B110" s="93">
        <f t="shared" si="11"/>
        <v>44742</v>
      </c>
      <c r="C110" s="87">
        <f>VLOOKUP(A110,'intereses desde el 71'!$A:$XFD,IF(A110&lt;Nuevo_Int_Sa,3,IF(Comercial_Sa="x",3,IF(Consumo_Sa="x",4,IF(Microcréd_Sa="x",5)))))</f>
        <v>0.1895</v>
      </c>
      <c r="D110" s="4">
        <f t="shared" si="12"/>
        <v>0.021066743264638976</v>
      </c>
      <c r="E110" s="53">
        <f t="shared" si="13"/>
        <v>0.021066743264638976</v>
      </c>
      <c r="F110" s="20"/>
      <c r="G110" s="19">
        <f t="shared" si="15"/>
        <v>15658137</v>
      </c>
      <c r="H110" s="6">
        <f t="shared" si="9"/>
      </c>
      <c r="I110" s="15">
        <f t="shared" si="10"/>
      </c>
    </row>
    <row r="111" spans="1:9" ht="12.75" hidden="1">
      <c r="A111" s="93">
        <f t="shared" si="14"/>
        <v>44743</v>
      </c>
      <c r="B111" s="93">
        <f t="shared" si="11"/>
        <v>44773</v>
      </c>
      <c r="C111" s="87">
        <f>VLOOKUP(A111,'intereses desde el 71'!$A:$XFD,IF(A111&lt;Nuevo_Int_Sa,3,IF(Comercial_Sa="x",3,IF(Consumo_Sa="x",4,IF(Microcréd_Sa="x",5)))))</f>
        <v>0.1895</v>
      </c>
      <c r="D111" s="4">
        <f t="shared" si="12"/>
        <v>0.021066743264638976</v>
      </c>
      <c r="E111" s="53">
        <f t="shared" si="13"/>
        <v>0.021066743264638976</v>
      </c>
      <c r="F111" s="20"/>
      <c r="G111" s="19">
        <f t="shared" si="15"/>
        <v>15658137</v>
      </c>
      <c r="H111" s="6">
        <f t="shared" si="9"/>
      </c>
      <c r="I111" s="15">
        <f t="shared" si="10"/>
      </c>
    </row>
    <row r="112" spans="1:9" ht="12.75" hidden="1">
      <c r="A112" s="93">
        <f t="shared" si="14"/>
        <v>44774</v>
      </c>
      <c r="B112" s="93">
        <f t="shared" si="11"/>
        <v>44804</v>
      </c>
      <c r="C112" s="87">
        <f>VLOOKUP(A112,'intereses desde el 71'!$A:$XFD,IF(A112&lt;Nuevo_Int_Sa,3,IF(Comercial_Sa="x",3,IF(Consumo_Sa="x",4,IF(Microcréd_Sa="x",5)))))</f>
        <v>0.1895</v>
      </c>
      <c r="D112" s="4">
        <f t="shared" si="12"/>
        <v>0.021066743264638976</v>
      </c>
      <c r="E112" s="53">
        <f t="shared" si="13"/>
        <v>0.021066743264638976</v>
      </c>
      <c r="F112" s="20"/>
      <c r="G112" s="19">
        <f t="shared" si="15"/>
        <v>15658137</v>
      </c>
      <c r="H112" s="104">
        <f t="shared" si="9"/>
      </c>
      <c r="I112" s="15">
        <f t="shared" si="10"/>
      </c>
    </row>
    <row r="113" spans="1:9" ht="12.75" hidden="1">
      <c r="A113" s="93">
        <f t="shared" si="14"/>
        <v>44805</v>
      </c>
      <c r="B113" s="93">
        <f t="shared" si="11"/>
        <v>44834</v>
      </c>
      <c r="C113" s="87">
        <f>VLOOKUP(A113,'intereses desde el 71'!$A:$XFD,IF(A113&lt;Nuevo_Int_Sa,3,IF(Comercial_Sa="x",3,IF(Consumo_Sa="x",4,IF(Microcréd_Sa="x",5)))))</f>
        <v>0.1895</v>
      </c>
      <c r="D113" s="4">
        <f t="shared" si="12"/>
        <v>0.021066743264638976</v>
      </c>
      <c r="E113" s="53">
        <f t="shared" si="13"/>
        <v>0.021066743264638976</v>
      </c>
      <c r="F113" s="20"/>
      <c r="G113" s="19">
        <f t="shared" si="15"/>
        <v>15658137</v>
      </c>
      <c r="H113" s="104">
        <f t="shared" si="9"/>
      </c>
      <c r="I113" s="15">
        <f t="shared" si="10"/>
      </c>
    </row>
    <row r="114" spans="1:9" ht="12.75" hidden="1">
      <c r="A114" s="93">
        <f t="shared" si="14"/>
        <v>44835</v>
      </c>
      <c r="B114" s="93">
        <f t="shared" si="11"/>
        <v>44865</v>
      </c>
      <c r="C114" s="87">
        <f>VLOOKUP(A114,'intereses desde el 71'!$A:$XFD,IF(A114&lt;Nuevo_Int_Sa,3,IF(Comercial_Sa="x",3,IF(Consumo_Sa="x",4,IF(Microcréd_Sa="x",5)))))</f>
        <v>0.1895</v>
      </c>
      <c r="D114" s="4">
        <f t="shared" si="12"/>
        <v>0.021066743264638976</v>
      </c>
      <c r="E114" s="53">
        <f t="shared" si="13"/>
        <v>0.021066743264638976</v>
      </c>
      <c r="F114" s="20"/>
      <c r="G114" s="19">
        <f t="shared" si="15"/>
        <v>15658137</v>
      </c>
      <c r="H114" s="104">
        <f aca="true" t="shared" si="16" ref="H114:H145">IF(Colm_De&gt;Mora_Final,"",IF(A114="","",DAYS360(A114,B114+(1))))</f>
      </c>
      <c r="I114" s="15">
        <f t="shared" si="10"/>
      </c>
    </row>
    <row r="115" spans="1:9" ht="12.75" hidden="1">
      <c r="A115" s="93">
        <f t="shared" si="14"/>
        <v>44866</v>
      </c>
      <c r="B115" s="93">
        <f t="shared" si="11"/>
        <v>44895</v>
      </c>
      <c r="C115" s="87">
        <f>VLOOKUP(A115,'intereses desde el 71'!$A:$XFD,IF(A115&lt;Nuevo_Int_Sa,3,IF(Comercial_Sa="x",3,IF(Consumo_Sa="x",4,IF(Microcréd_Sa="x",5)))))</f>
        <v>0.1895</v>
      </c>
      <c r="D115" s="4">
        <f t="shared" si="12"/>
        <v>0.021066743264638976</v>
      </c>
      <c r="E115" s="53">
        <f t="shared" si="13"/>
        <v>0.021066743264638976</v>
      </c>
      <c r="F115" s="20"/>
      <c r="G115" s="19">
        <f t="shared" si="15"/>
        <v>15658137</v>
      </c>
      <c r="H115" s="104">
        <f t="shared" si="16"/>
      </c>
      <c r="I115" s="15">
        <f aca="true" t="shared" si="17" ref="I115:I146">IF(Colm_De&gt;Mora_Final,"",IF(A115="","",((G115*E115)/30)*H115))</f>
      </c>
    </row>
    <row r="116" spans="1:9" ht="12.75" hidden="1">
      <c r="A116" s="93">
        <f t="shared" si="14"/>
        <v>44896</v>
      </c>
      <c r="B116" s="93">
        <f t="shared" si="11"/>
        <v>44926</v>
      </c>
      <c r="C116" s="87">
        <f>VLOOKUP(A116,'intereses desde el 71'!$A:$XFD,IF(A116&lt;Nuevo_Int_Sa,3,IF(Comercial_Sa="x",3,IF(Consumo_Sa="x",4,IF(Microcréd_Sa="x",5)))))</f>
        <v>0.1895</v>
      </c>
      <c r="D116" s="4">
        <f t="shared" si="12"/>
        <v>0.021066743264638976</v>
      </c>
      <c r="E116" s="53">
        <f t="shared" si="13"/>
        <v>0.021066743264638976</v>
      </c>
      <c r="F116" s="20"/>
      <c r="G116" s="19">
        <f t="shared" si="15"/>
        <v>15658137</v>
      </c>
      <c r="H116" s="104">
        <f t="shared" si="16"/>
      </c>
      <c r="I116" s="15">
        <f t="shared" si="17"/>
      </c>
    </row>
    <row r="117" spans="1:9" ht="12.75" hidden="1">
      <c r="A117" s="93">
        <f t="shared" si="14"/>
        <v>44927</v>
      </c>
      <c r="B117" s="93">
        <f t="shared" si="11"/>
        <v>44957</v>
      </c>
      <c r="C117" s="87">
        <f>VLOOKUP(A117,'intereses desde el 71'!$A:$XFD,IF(A117&lt;Nuevo_Int_Sa,3,IF(Comercial_Sa="x",3,IF(Consumo_Sa="x",4,IF(Microcréd_Sa="x",5)))))</f>
        <v>0.1895</v>
      </c>
      <c r="D117" s="4">
        <f t="shared" si="12"/>
        <v>0.021066743264638976</v>
      </c>
      <c r="E117" s="53">
        <f t="shared" si="13"/>
        <v>0.021066743264638976</v>
      </c>
      <c r="F117" s="20"/>
      <c r="G117" s="19">
        <f t="shared" si="15"/>
        <v>15658137</v>
      </c>
      <c r="H117" s="104">
        <f t="shared" si="16"/>
      </c>
      <c r="I117" s="15">
        <f t="shared" si="17"/>
      </c>
    </row>
    <row r="118" spans="1:9" ht="12.75" hidden="1">
      <c r="A118" s="93">
        <f t="shared" si="14"/>
        <v>44958</v>
      </c>
      <c r="B118" s="93">
        <f t="shared" si="11"/>
        <v>44985</v>
      </c>
      <c r="C118" s="87">
        <f>VLOOKUP(A118,'intereses desde el 71'!$A:$XFD,IF(A118&lt;Nuevo_Int_Sa,3,IF(Comercial_Sa="x",3,IF(Consumo_Sa="x",4,IF(Microcréd_Sa="x",5)))))</f>
        <v>0.1895</v>
      </c>
      <c r="D118" s="4">
        <f t="shared" si="12"/>
        <v>0.021066743264638976</v>
      </c>
      <c r="E118" s="53">
        <f t="shared" si="13"/>
        <v>0.021066743264638976</v>
      </c>
      <c r="F118" s="20"/>
      <c r="G118" s="19">
        <f t="shared" si="15"/>
        <v>15658137</v>
      </c>
      <c r="H118" s="104">
        <f t="shared" si="16"/>
      </c>
      <c r="I118" s="15">
        <f t="shared" si="17"/>
      </c>
    </row>
    <row r="119" spans="1:9" ht="12.75" hidden="1">
      <c r="A119" s="93">
        <f t="shared" si="14"/>
        <v>44986</v>
      </c>
      <c r="B119" s="93">
        <f t="shared" si="11"/>
        <v>45016</v>
      </c>
      <c r="C119" s="87">
        <f>VLOOKUP(A119,'intereses desde el 71'!$A:$XFD,IF(A119&lt;Nuevo_Int_Sa,3,IF(Comercial_Sa="x",3,IF(Consumo_Sa="x",4,IF(Microcréd_Sa="x",5)))))</f>
        <v>0.1895</v>
      </c>
      <c r="D119" s="4">
        <f t="shared" si="12"/>
        <v>0.021066743264638976</v>
      </c>
      <c r="E119" s="53">
        <f t="shared" si="13"/>
        <v>0.021066743264638976</v>
      </c>
      <c r="F119" s="20"/>
      <c r="G119" s="19">
        <f t="shared" si="15"/>
        <v>15658137</v>
      </c>
      <c r="H119" s="104">
        <f t="shared" si="16"/>
      </c>
      <c r="I119" s="15">
        <f t="shared" si="17"/>
      </c>
    </row>
    <row r="120" spans="1:9" ht="12.75" hidden="1">
      <c r="A120" s="93">
        <f t="shared" si="14"/>
        <v>45017</v>
      </c>
      <c r="B120" s="93">
        <f t="shared" si="11"/>
        <v>45046</v>
      </c>
      <c r="C120" s="87">
        <f>VLOOKUP(A120,'intereses desde el 71'!$A:$XFD,IF(A120&lt;Nuevo_Int_Sa,3,IF(Comercial_Sa="x",3,IF(Consumo_Sa="x",4,IF(Microcréd_Sa="x",5)))))</f>
        <v>0.1895</v>
      </c>
      <c r="D120" s="4">
        <f t="shared" si="12"/>
        <v>0.021066743264638976</v>
      </c>
      <c r="E120" s="53">
        <f t="shared" si="13"/>
        <v>0.021066743264638976</v>
      </c>
      <c r="F120" s="20"/>
      <c r="G120" s="19">
        <f t="shared" si="15"/>
        <v>15658137</v>
      </c>
      <c r="H120" s="104">
        <f t="shared" si="16"/>
      </c>
      <c r="I120" s="15">
        <f t="shared" si="17"/>
      </c>
    </row>
    <row r="121" spans="1:9" ht="12.75" hidden="1">
      <c r="A121" s="93">
        <f t="shared" si="14"/>
        <v>45047</v>
      </c>
      <c r="B121" s="93">
        <f t="shared" si="11"/>
        <v>45077</v>
      </c>
      <c r="C121" s="87">
        <f>VLOOKUP(A121,'intereses desde el 71'!$A:$XFD,IF(A121&lt;Nuevo_Int_Sa,3,IF(Comercial_Sa="x",3,IF(Consumo_Sa="x",4,IF(Microcréd_Sa="x",5)))))</f>
        <v>0.1895</v>
      </c>
      <c r="D121" s="4">
        <f t="shared" si="12"/>
        <v>0.021066743264638976</v>
      </c>
      <c r="E121" s="53">
        <f t="shared" si="13"/>
        <v>0.021066743264638976</v>
      </c>
      <c r="F121" s="20"/>
      <c r="G121" s="19">
        <f t="shared" si="15"/>
        <v>15658137</v>
      </c>
      <c r="H121" s="104">
        <f t="shared" si="16"/>
      </c>
      <c r="I121" s="15">
        <f t="shared" si="17"/>
      </c>
    </row>
    <row r="122" spans="1:9" ht="12.75" hidden="1">
      <c r="A122" s="93">
        <f t="shared" si="14"/>
        <v>45078</v>
      </c>
      <c r="B122" s="93">
        <f t="shared" si="11"/>
        <v>45107</v>
      </c>
      <c r="C122" s="87">
        <f>VLOOKUP(A122,'intereses desde el 71'!$A:$XFD,IF(A122&lt;Nuevo_Int_Sa,3,IF(Comercial_Sa="x",3,IF(Consumo_Sa="x",4,IF(Microcréd_Sa="x",5)))))</f>
        <v>0.1895</v>
      </c>
      <c r="D122" s="4">
        <f t="shared" si="12"/>
        <v>0.021066743264638976</v>
      </c>
      <c r="E122" s="53">
        <f t="shared" si="13"/>
        <v>0.021066743264638976</v>
      </c>
      <c r="F122" s="20"/>
      <c r="G122" s="19">
        <f t="shared" si="15"/>
        <v>15658137</v>
      </c>
      <c r="H122" s="104">
        <f t="shared" si="16"/>
      </c>
      <c r="I122" s="15">
        <f t="shared" si="17"/>
      </c>
    </row>
    <row r="123" spans="1:9" ht="12.75" hidden="1">
      <c r="A123" s="93">
        <f t="shared" si="14"/>
        <v>45108</v>
      </c>
      <c r="B123" s="93">
        <f t="shared" si="11"/>
        <v>45138</v>
      </c>
      <c r="C123" s="87">
        <f>VLOOKUP(A123,'intereses desde el 71'!$A:$XFD,IF(A123&lt;Nuevo_Int_Sa,3,IF(Comercial_Sa="x",3,IF(Consumo_Sa="x",4,IF(Microcréd_Sa="x",5)))))</f>
        <v>0.1895</v>
      </c>
      <c r="D123" s="4">
        <f t="shared" si="12"/>
        <v>0.021066743264638976</v>
      </c>
      <c r="E123" s="53">
        <f t="shared" si="13"/>
        <v>0.021066743264638976</v>
      </c>
      <c r="F123" s="20"/>
      <c r="G123" s="19">
        <f t="shared" si="15"/>
        <v>15658137</v>
      </c>
      <c r="H123" s="104">
        <f t="shared" si="16"/>
      </c>
      <c r="I123" s="15">
        <f t="shared" si="17"/>
      </c>
    </row>
    <row r="124" spans="1:9" ht="12.75" hidden="1">
      <c r="A124" s="93">
        <f t="shared" si="14"/>
        <v>45139</v>
      </c>
      <c r="B124" s="93">
        <f t="shared" si="11"/>
        <v>45169</v>
      </c>
      <c r="C124" s="87">
        <f>VLOOKUP(A124,'intereses desde el 71'!$A:$XFD,IF(A124&lt;Nuevo_Int_Sa,3,IF(Comercial_Sa="x",3,IF(Consumo_Sa="x",4,IF(Microcréd_Sa="x",5)))))</f>
        <v>0.1895</v>
      </c>
      <c r="D124" s="4">
        <f t="shared" si="12"/>
        <v>0.021066743264638976</v>
      </c>
      <c r="E124" s="53">
        <f t="shared" si="13"/>
        <v>0.021066743264638976</v>
      </c>
      <c r="F124" s="20"/>
      <c r="G124" s="19">
        <f t="shared" si="15"/>
        <v>15658137</v>
      </c>
      <c r="H124" s="104">
        <f t="shared" si="16"/>
      </c>
      <c r="I124" s="15">
        <f t="shared" si="17"/>
      </c>
    </row>
    <row r="125" spans="1:9" ht="12.75" hidden="1">
      <c r="A125" s="93">
        <f t="shared" si="14"/>
        <v>45170</v>
      </c>
      <c r="B125" s="93">
        <f t="shared" si="11"/>
        <v>45199</v>
      </c>
      <c r="C125" s="87">
        <f>VLOOKUP(A125,'intereses desde el 71'!$A:$XFD,IF(A125&lt;Nuevo_Int_Sa,3,IF(Comercial_Sa="x",3,IF(Consumo_Sa="x",4,IF(Microcréd_Sa="x",5)))))</f>
        <v>0.1895</v>
      </c>
      <c r="D125" s="4">
        <f t="shared" si="12"/>
        <v>0.021066743264638976</v>
      </c>
      <c r="E125" s="53">
        <f t="shared" si="13"/>
        <v>0.021066743264638976</v>
      </c>
      <c r="F125" s="20"/>
      <c r="G125" s="19">
        <f t="shared" si="15"/>
        <v>15658137</v>
      </c>
      <c r="H125" s="104">
        <f t="shared" si="16"/>
      </c>
      <c r="I125" s="15">
        <f t="shared" si="17"/>
      </c>
    </row>
    <row r="126" spans="1:9" ht="12.75" hidden="1">
      <c r="A126" s="93">
        <f t="shared" si="14"/>
        <v>45200</v>
      </c>
      <c r="B126" s="93">
        <f t="shared" si="11"/>
        <v>45230</v>
      </c>
      <c r="C126" s="87">
        <f>VLOOKUP(A126,'intereses desde el 71'!$A:$XFD,IF(A126&lt;Nuevo_Int_Sa,3,IF(Comercial_Sa="x",3,IF(Consumo_Sa="x",4,IF(Microcréd_Sa="x",5)))))</f>
        <v>0.1895</v>
      </c>
      <c r="D126" s="4">
        <f t="shared" si="12"/>
        <v>0.021066743264638976</v>
      </c>
      <c r="E126" s="53">
        <f t="shared" si="13"/>
        <v>0.021066743264638976</v>
      </c>
      <c r="F126" s="20"/>
      <c r="G126" s="19">
        <f t="shared" si="15"/>
        <v>15658137</v>
      </c>
      <c r="H126" s="104">
        <f t="shared" si="16"/>
      </c>
      <c r="I126" s="15">
        <f t="shared" si="17"/>
      </c>
    </row>
    <row r="127" spans="1:9" ht="12.75" hidden="1">
      <c r="A127" s="93">
        <f t="shared" si="14"/>
        <v>45231</v>
      </c>
      <c r="B127" s="93">
        <f t="shared" si="11"/>
        <v>45260</v>
      </c>
      <c r="C127" s="87">
        <f>VLOOKUP(A127,'intereses desde el 71'!$A:$XFD,IF(A127&lt;Nuevo_Int_Sa,3,IF(Comercial_Sa="x",3,IF(Consumo_Sa="x",4,IF(Microcréd_Sa="x",5)))))</f>
        <v>0.1895</v>
      </c>
      <c r="D127" s="4">
        <f t="shared" si="12"/>
        <v>0.021066743264638976</v>
      </c>
      <c r="E127" s="53">
        <f t="shared" si="13"/>
        <v>0.021066743264638976</v>
      </c>
      <c r="F127" s="20"/>
      <c r="G127" s="19">
        <f t="shared" si="15"/>
        <v>15658137</v>
      </c>
      <c r="H127" s="104">
        <f t="shared" si="16"/>
      </c>
      <c r="I127" s="15">
        <f t="shared" si="17"/>
      </c>
    </row>
    <row r="128" spans="1:9" ht="12.75" hidden="1">
      <c r="A128" s="93">
        <f t="shared" si="14"/>
        <v>45261</v>
      </c>
      <c r="B128" s="93">
        <f t="shared" si="11"/>
        <v>45291</v>
      </c>
      <c r="C128" s="87">
        <f>VLOOKUP(A128,'intereses desde el 71'!$A:$XFD,IF(A128&lt;Nuevo_Int_Sa,3,IF(Comercial_Sa="x",3,IF(Consumo_Sa="x",4,IF(Microcréd_Sa="x",5)))))</f>
        <v>0.1895</v>
      </c>
      <c r="D128" s="4">
        <f t="shared" si="12"/>
        <v>0.021066743264638976</v>
      </c>
      <c r="E128" s="53">
        <f t="shared" si="13"/>
        <v>0.021066743264638976</v>
      </c>
      <c r="F128" s="20"/>
      <c r="G128" s="19">
        <f t="shared" si="15"/>
        <v>15658137</v>
      </c>
      <c r="H128" s="104">
        <f t="shared" si="16"/>
      </c>
      <c r="I128" s="15">
        <f t="shared" si="17"/>
      </c>
    </row>
    <row r="129" spans="1:10" ht="12.75" hidden="1">
      <c r="A129" s="93">
        <f t="shared" si="14"/>
        <v>45292</v>
      </c>
      <c r="B129" s="93">
        <f t="shared" si="11"/>
        <v>45322</v>
      </c>
      <c r="C129" s="87">
        <f>VLOOKUP(A129,'intereses desde el 71'!$A:$XFD,IF(A129&lt;Nuevo_Int_Sa,3,IF(Comercial_Sa="x",3,IF(Consumo_Sa="x",4,IF(Microcréd_Sa="x",5)))))</f>
        <v>0.1895</v>
      </c>
      <c r="D129" s="4">
        <f t="shared" si="12"/>
        <v>0.021066743264638976</v>
      </c>
      <c r="E129" s="53">
        <f t="shared" si="13"/>
        <v>0.021066743264638976</v>
      </c>
      <c r="F129" s="20"/>
      <c r="G129" s="19">
        <f t="shared" si="15"/>
        <v>15658137</v>
      </c>
      <c r="H129" s="104">
        <f t="shared" si="16"/>
      </c>
      <c r="I129" s="15">
        <f t="shared" si="17"/>
      </c>
      <c r="J129" s="18"/>
    </row>
    <row r="130" spans="1:9" ht="12.75" hidden="1">
      <c r="A130" s="93">
        <f t="shared" si="14"/>
        <v>45323</v>
      </c>
      <c r="B130" s="93">
        <f t="shared" si="11"/>
        <v>45351</v>
      </c>
      <c r="C130" s="87">
        <f>VLOOKUP(A130,'intereses desde el 71'!$A:$XFD,IF(A130&lt;Nuevo_Int_Sa,3,IF(Comercial_Sa="x",3,IF(Consumo_Sa="x",4,IF(Microcréd_Sa="x",5)))))</f>
        <v>0.1895</v>
      </c>
      <c r="D130" s="4">
        <f t="shared" si="12"/>
        <v>0.021066743264638976</v>
      </c>
      <c r="E130" s="53">
        <f t="shared" si="13"/>
        <v>0.021066743264638976</v>
      </c>
      <c r="F130" s="20"/>
      <c r="G130" s="19">
        <f t="shared" si="15"/>
        <v>15658137</v>
      </c>
      <c r="H130" s="104">
        <f t="shared" si="16"/>
      </c>
      <c r="I130" s="15">
        <f t="shared" si="17"/>
      </c>
    </row>
    <row r="131" spans="1:9" ht="12.75" hidden="1">
      <c r="A131" s="93">
        <f t="shared" si="14"/>
        <v>45352</v>
      </c>
      <c r="B131" s="93">
        <f t="shared" si="11"/>
        <v>45382</v>
      </c>
      <c r="C131" s="87">
        <f>VLOOKUP(A131,'intereses desde el 71'!$A:$XFD,IF(A131&lt;Nuevo_Int_Sa,3,IF(Comercial_Sa="x",3,IF(Consumo_Sa="x",4,IF(Microcréd_Sa="x",5)))))</f>
        <v>0.1895</v>
      </c>
      <c r="D131" s="4">
        <f t="shared" si="12"/>
        <v>0.021066743264638976</v>
      </c>
      <c r="E131" s="53">
        <f t="shared" si="13"/>
        <v>0.021066743264638976</v>
      </c>
      <c r="F131" s="20"/>
      <c r="G131" s="19">
        <f t="shared" si="15"/>
        <v>15658137</v>
      </c>
      <c r="H131" s="104">
        <f t="shared" si="16"/>
      </c>
      <c r="I131" s="15">
        <f t="shared" si="17"/>
      </c>
    </row>
    <row r="132" spans="1:9" ht="12.75" hidden="1">
      <c r="A132" s="93">
        <f t="shared" si="14"/>
        <v>45383</v>
      </c>
      <c r="B132" s="93">
        <f t="shared" si="11"/>
        <v>45412</v>
      </c>
      <c r="C132" s="87">
        <f>VLOOKUP(A132,'intereses desde el 71'!$A:$XFD,IF(A132&lt;Nuevo_Int_Sa,3,IF(Comercial_Sa="x",3,IF(Consumo_Sa="x",4,IF(Microcréd_Sa="x",5)))))</f>
        <v>0.1895</v>
      </c>
      <c r="D132" s="4">
        <f t="shared" si="12"/>
        <v>0.021066743264638976</v>
      </c>
      <c r="E132" s="53">
        <f t="shared" si="13"/>
        <v>0.021066743264638976</v>
      </c>
      <c r="F132" s="20"/>
      <c r="G132" s="19">
        <f t="shared" si="15"/>
        <v>15658137</v>
      </c>
      <c r="H132" s="104">
        <f t="shared" si="16"/>
      </c>
      <c r="I132" s="15">
        <f t="shared" si="17"/>
      </c>
    </row>
    <row r="133" spans="1:9" ht="12.75" hidden="1">
      <c r="A133" s="93">
        <f t="shared" si="14"/>
        <v>45413</v>
      </c>
      <c r="B133" s="93">
        <f t="shared" si="11"/>
        <v>45443</v>
      </c>
      <c r="C133" s="87">
        <f>VLOOKUP(A133,'intereses desde el 71'!$A:$XFD,IF(A133&lt;Nuevo_Int_Sa,3,IF(Comercial_Sa="x",3,IF(Consumo_Sa="x",4,IF(Microcréd_Sa="x",5)))))</f>
        <v>0.1895</v>
      </c>
      <c r="D133" s="4">
        <f t="shared" si="12"/>
        <v>0.021066743264638976</v>
      </c>
      <c r="E133" s="53">
        <f t="shared" si="13"/>
        <v>0.021066743264638976</v>
      </c>
      <c r="F133" s="20"/>
      <c r="G133" s="19">
        <f t="shared" si="15"/>
        <v>15658137</v>
      </c>
      <c r="H133" s="104">
        <f t="shared" si="16"/>
      </c>
      <c r="I133" s="15">
        <f t="shared" si="17"/>
      </c>
    </row>
    <row r="134" spans="1:9" ht="12.75" hidden="1">
      <c r="A134" s="93">
        <f t="shared" si="14"/>
        <v>45444</v>
      </c>
      <c r="B134" s="93">
        <f t="shared" si="11"/>
        <v>45473</v>
      </c>
      <c r="C134" s="87">
        <f>VLOOKUP(A134,'intereses desde el 71'!$A:$XFD,IF(A134&lt;Nuevo_Int_Sa,3,IF(Comercial_Sa="x",3,IF(Consumo_Sa="x",4,IF(Microcréd_Sa="x",5)))))</f>
        <v>0.1895</v>
      </c>
      <c r="D134" s="4">
        <f t="shared" si="12"/>
        <v>0.021066743264638976</v>
      </c>
      <c r="E134" s="53">
        <f t="shared" si="13"/>
        <v>0.021066743264638976</v>
      </c>
      <c r="F134" s="20"/>
      <c r="G134" s="19">
        <f t="shared" si="15"/>
        <v>15658137</v>
      </c>
      <c r="H134" s="104">
        <f t="shared" si="16"/>
      </c>
      <c r="I134" s="15">
        <f t="shared" si="17"/>
      </c>
    </row>
    <row r="135" spans="1:9" ht="12.75" hidden="1">
      <c r="A135" s="93">
        <f t="shared" si="14"/>
        <v>45474</v>
      </c>
      <c r="B135" s="93">
        <f t="shared" si="11"/>
        <v>45504</v>
      </c>
      <c r="C135" s="87">
        <f>VLOOKUP(A135,'intereses desde el 71'!$A:$XFD,IF(A135&lt;Nuevo_Int_Sa,3,IF(Comercial_Sa="x",3,IF(Consumo_Sa="x",4,IF(Microcréd_Sa="x",5)))))</f>
        <v>0.1895</v>
      </c>
      <c r="D135" s="4">
        <f t="shared" si="12"/>
        <v>0.021066743264638976</v>
      </c>
      <c r="E135" s="53">
        <f t="shared" si="13"/>
        <v>0.021066743264638976</v>
      </c>
      <c r="F135" s="20"/>
      <c r="G135" s="19">
        <f t="shared" si="15"/>
        <v>15658137</v>
      </c>
      <c r="H135" s="104">
        <f t="shared" si="16"/>
      </c>
      <c r="I135" s="15">
        <f t="shared" si="17"/>
      </c>
    </row>
    <row r="136" spans="1:9" ht="12.75" hidden="1">
      <c r="A136" s="93">
        <f t="shared" si="14"/>
        <v>45505</v>
      </c>
      <c r="B136" s="93">
        <f t="shared" si="11"/>
        <v>45535</v>
      </c>
      <c r="C136" s="87">
        <f>VLOOKUP(A136,'intereses desde el 71'!$A:$XFD,IF(A136&lt;Nuevo_Int_Sa,3,IF(Comercial_Sa="x",3,IF(Consumo_Sa="x",4,IF(Microcréd_Sa="x",5)))))</f>
        <v>0.1895</v>
      </c>
      <c r="D136" s="4">
        <f t="shared" si="12"/>
        <v>0.021066743264638976</v>
      </c>
      <c r="E136" s="53">
        <f t="shared" si="13"/>
        <v>0.021066743264638976</v>
      </c>
      <c r="F136" s="20"/>
      <c r="G136" s="19">
        <f t="shared" si="15"/>
        <v>15658137</v>
      </c>
      <c r="H136" s="104">
        <f t="shared" si="16"/>
      </c>
      <c r="I136" s="15">
        <f t="shared" si="17"/>
      </c>
    </row>
    <row r="137" spans="1:9" ht="12.75" hidden="1">
      <c r="A137" s="93">
        <f t="shared" si="14"/>
        <v>45536</v>
      </c>
      <c r="B137" s="93">
        <f t="shared" si="11"/>
        <v>45565</v>
      </c>
      <c r="C137" s="87">
        <f>VLOOKUP(A137,'intereses desde el 71'!$A:$XFD,IF(A137&lt;Nuevo_Int_Sa,3,IF(Comercial_Sa="x",3,IF(Consumo_Sa="x",4,IF(Microcréd_Sa="x",5)))))</f>
        <v>0.1895</v>
      </c>
      <c r="D137" s="4">
        <f t="shared" si="12"/>
        <v>0.021066743264638976</v>
      </c>
      <c r="E137" s="53">
        <f t="shared" si="13"/>
        <v>0.021066743264638976</v>
      </c>
      <c r="F137" s="20"/>
      <c r="G137" s="19">
        <f t="shared" si="15"/>
        <v>15658137</v>
      </c>
      <c r="H137" s="104">
        <f t="shared" si="16"/>
      </c>
      <c r="I137" s="15">
        <f t="shared" si="17"/>
      </c>
    </row>
    <row r="138" spans="1:9" ht="12.75" hidden="1">
      <c r="A138" s="93">
        <f t="shared" si="14"/>
        <v>45566</v>
      </c>
      <c r="B138" s="93">
        <f t="shared" si="11"/>
        <v>45596</v>
      </c>
      <c r="C138" s="87">
        <f>VLOOKUP(A138,'intereses desde el 71'!$A:$XFD,IF(A138&lt;Nuevo_Int_Sa,3,IF(Comercial_Sa="x",3,IF(Consumo_Sa="x",4,IF(Microcréd_Sa="x",5)))))</f>
        <v>0.1895</v>
      </c>
      <c r="D138" s="4">
        <f t="shared" si="12"/>
        <v>0.021066743264638976</v>
      </c>
      <c r="E138" s="53">
        <f t="shared" si="13"/>
        <v>0.021066743264638976</v>
      </c>
      <c r="F138" s="20"/>
      <c r="G138" s="19">
        <f t="shared" si="15"/>
        <v>15658137</v>
      </c>
      <c r="H138" s="104">
        <f t="shared" si="16"/>
      </c>
      <c r="I138" s="15">
        <f t="shared" si="17"/>
      </c>
    </row>
    <row r="139" spans="1:9" ht="12.75" hidden="1">
      <c r="A139" s="93">
        <f t="shared" si="14"/>
        <v>45597</v>
      </c>
      <c r="B139" s="93">
        <f t="shared" si="11"/>
        <v>45626</v>
      </c>
      <c r="C139" s="87">
        <f>VLOOKUP(A139,'intereses desde el 71'!$A:$XFD,IF(A139&lt;Nuevo_Int_Sa,3,IF(Comercial_Sa="x",3,IF(Consumo_Sa="x",4,IF(Microcréd_Sa="x",5)))))</f>
        <v>0.1895</v>
      </c>
      <c r="D139" s="4">
        <f t="shared" si="12"/>
        <v>0.021066743264638976</v>
      </c>
      <c r="E139" s="53">
        <f t="shared" si="13"/>
        <v>0.021066743264638976</v>
      </c>
      <c r="F139" s="20"/>
      <c r="G139" s="19">
        <f t="shared" si="15"/>
        <v>15658137</v>
      </c>
      <c r="H139" s="104">
        <f t="shared" si="16"/>
      </c>
      <c r="I139" s="15">
        <f t="shared" si="17"/>
      </c>
    </row>
    <row r="140" spans="1:9" ht="12.75" hidden="1">
      <c r="A140" s="93">
        <f t="shared" si="14"/>
        <v>45627</v>
      </c>
      <c r="B140" s="93">
        <f t="shared" si="11"/>
        <v>45657</v>
      </c>
      <c r="C140" s="87">
        <f>VLOOKUP(A140,'intereses desde el 71'!$A:$XFD,IF(A140&lt;Nuevo_Int_Sa,3,IF(Comercial_Sa="x",3,IF(Consumo_Sa="x",4,IF(Microcréd_Sa="x",5)))))</f>
        <v>0.1895</v>
      </c>
      <c r="D140" s="4">
        <f t="shared" si="12"/>
        <v>0.021066743264638976</v>
      </c>
      <c r="E140" s="53">
        <f t="shared" si="13"/>
        <v>0.021066743264638976</v>
      </c>
      <c r="F140" s="20"/>
      <c r="G140" s="19">
        <f t="shared" si="15"/>
        <v>15658137</v>
      </c>
      <c r="H140" s="104">
        <f t="shared" si="16"/>
      </c>
      <c r="I140" s="15">
        <f t="shared" si="17"/>
      </c>
    </row>
    <row r="141" spans="1:9" ht="12.75" hidden="1">
      <c r="A141" s="93">
        <f t="shared" si="14"/>
        <v>45658</v>
      </c>
      <c r="B141" s="93">
        <f t="shared" si="11"/>
        <v>45688</v>
      </c>
      <c r="C141" s="87">
        <f>VLOOKUP(A141,'intereses desde el 71'!$A:$XFD,IF(A141&lt;Nuevo_Int_Sa,3,IF(Comercial_Sa="x",3,IF(Consumo_Sa="x",4,IF(Microcréd_Sa="x",5)))))</f>
        <v>0.1895</v>
      </c>
      <c r="D141" s="4">
        <f t="shared" si="12"/>
        <v>0.021066743264638976</v>
      </c>
      <c r="E141" s="53">
        <f t="shared" si="13"/>
        <v>0.021066743264638976</v>
      </c>
      <c r="F141" s="20"/>
      <c r="G141" s="19">
        <f t="shared" si="15"/>
        <v>15658137</v>
      </c>
      <c r="H141" s="104">
        <f t="shared" si="16"/>
      </c>
      <c r="I141" s="15">
        <f t="shared" si="17"/>
      </c>
    </row>
    <row r="142" spans="1:9" ht="12.75" hidden="1">
      <c r="A142" s="93">
        <f t="shared" si="14"/>
        <v>45689</v>
      </c>
      <c r="B142" s="93">
        <f t="shared" si="11"/>
        <v>45716</v>
      </c>
      <c r="C142" s="87">
        <f>VLOOKUP(A142,'intereses desde el 71'!$A:$XFD,IF(A142&lt;Nuevo_Int_Sa,3,IF(Comercial_Sa="x",3,IF(Consumo_Sa="x",4,IF(Microcréd_Sa="x",5)))))</f>
        <v>0.1895</v>
      </c>
      <c r="D142" s="4">
        <f t="shared" si="12"/>
        <v>0.021066743264638976</v>
      </c>
      <c r="E142" s="53">
        <f t="shared" si="13"/>
        <v>0.021066743264638976</v>
      </c>
      <c r="F142" s="20"/>
      <c r="G142" s="19">
        <f t="shared" si="15"/>
        <v>15658137</v>
      </c>
      <c r="H142" s="104">
        <f t="shared" si="16"/>
      </c>
      <c r="I142" s="15">
        <f t="shared" si="17"/>
      </c>
    </row>
    <row r="143" spans="1:9" ht="12.75" hidden="1">
      <c r="A143" s="93">
        <f t="shared" si="14"/>
        <v>45717</v>
      </c>
      <c r="B143" s="93">
        <f t="shared" si="11"/>
        <v>45747</v>
      </c>
      <c r="C143" s="87">
        <f>VLOOKUP(A143,'intereses desde el 71'!$A:$XFD,IF(A143&lt;Nuevo_Int_Sa,3,IF(Comercial_Sa="x",3,IF(Consumo_Sa="x",4,IF(Microcréd_Sa="x",5)))))</f>
        <v>0.1895</v>
      </c>
      <c r="D143" s="4">
        <f t="shared" si="12"/>
        <v>0.021066743264638976</v>
      </c>
      <c r="E143" s="53">
        <f t="shared" si="13"/>
        <v>0.021066743264638976</v>
      </c>
      <c r="F143" s="20"/>
      <c r="G143" s="19">
        <f t="shared" si="15"/>
        <v>15658137</v>
      </c>
      <c r="H143" s="104">
        <f t="shared" si="16"/>
      </c>
      <c r="I143" s="15">
        <f t="shared" si="17"/>
      </c>
    </row>
    <row r="144" spans="1:9" ht="12.75" hidden="1">
      <c r="A144" s="93">
        <f t="shared" si="14"/>
        <v>45748</v>
      </c>
      <c r="B144" s="93">
        <f t="shared" si="11"/>
        <v>45777</v>
      </c>
      <c r="C144" s="87">
        <f>VLOOKUP(A144,'intereses desde el 71'!$A:$XFD,IF(A144&lt;Nuevo_Int_Sa,3,IF(Comercial_Sa="x",3,IF(Consumo_Sa="x",4,IF(Microcréd_Sa="x",5)))))</f>
        <v>0.1895</v>
      </c>
      <c r="D144" s="4">
        <f t="shared" si="12"/>
        <v>0.021066743264638976</v>
      </c>
      <c r="E144" s="53">
        <f t="shared" si="13"/>
        <v>0.021066743264638976</v>
      </c>
      <c r="F144" s="20"/>
      <c r="G144" s="19">
        <f t="shared" si="15"/>
        <v>15658137</v>
      </c>
      <c r="H144" s="104">
        <f t="shared" si="16"/>
      </c>
      <c r="I144" s="15">
        <f t="shared" si="17"/>
      </c>
    </row>
    <row r="145" spans="1:9" ht="12.75" hidden="1">
      <c r="A145" s="93">
        <f t="shared" si="14"/>
        <v>45778</v>
      </c>
      <c r="B145" s="93">
        <f t="shared" si="11"/>
        <v>45808</v>
      </c>
      <c r="C145" s="87">
        <f>VLOOKUP(A145,'intereses desde el 71'!$A:$XFD,IF(A145&lt;Nuevo_Int_Sa,3,IF(Comercial_Sa="x",3,IF(Consumo_Sa="x",4,IF(Microcréd_Sa="x",5)))))</f>
        <v>0.1895</v>
      </c>
      <c r="D145" s="4">
        <f t="shared" si="12"/>
        <v>0.021066743264638976</v>
      </c>
      <c r="E145" s="53">
        <f t="shared" si="13"/>
        <v>0.021066743264638976</v>
      </c>
      <c r="F145" s="20"/>
      <c r="G145" s="19">
        <f t="shared" si="15"/>
        <v>15658137</v>
      </c>
      <c r="H145" s="104">
        <f t="shared" si="16"/>
      </c>
      <c r="I145" s="15">
        <f t="shared" si="17"/>
      </c>
    </row>
    <row r="146" spans="1:9" ht="12.75" hidden="1">
      <c r="A146" s="93">
        <f t="shared" si="14"/>
        <v>45809</v>
      </c>
      <c r="B146" s="93">
        <f t="shared" si="11"/>
        <v>45838</v>
      </c>
      <c r="C146" s="87">
        <f>VLOOKUP(A146,'intereses desde el 71'!$A:$XFD,IF(A146&lt;Nuevo_Int_Sa,3,IF(Comercial_Sa="x",3,IF(Consumo_Sa="x",4,IF(Microcréd_Sa="x",5)))))</f>
        <v>0.1895</v>
      </c>
      <c r="D146" s="4">
        <f t="shared" si="12"/>
        <v>0.021066743264638976</v>
      </c>
      <c r="E146" s="53">
        <f t="shared" si="13"/>
        <v>0.021066743264638976</v>
      </c>
      <c r="F146" s="20"/>
      <c r="G146" s="19">
        <f t="shared" si="15"/>
        <v>15658137</v>
      </c>
      <c r="H146" s="104">
        <f aca="true" t="shared" si="18" ref="H146:H213">IF(Colm_De&gt;Mora_Final,"",IF(A146="","",DAYS360(A146,B146+(1))))</f>
      </c>
      <c r="I146" s="15">
        <f t="shared" si="17"/>
      </c>
    </row>
    <row r="147" spans="1:9" ht="12.75" hidden="1">
      <c r="A147" s="93">
        <f t="shared" si="14"/>
        <v>45839</v>
      </c>
      <c r="B147" s="93">
        <f t="shared" si="11"/>
        <v>45869</v>
      </c>
      <c r="C147" s="87">
        <f>VLOOKUP(A147,'intereses desde el 71'!$A:$XFD,IF(A147&lt;Nuevo_Int_Sa,3,IF(Comercial_Sa="x",3,IF(Consumo_Sa="x",4,IF(Microcréd_Sa="x",5)))))</f>
        <v>0.1895</v>
      </c>
      <c r="D147" s="4">
        <f t="shared" si="12"/>
        <v>0.021066743264638976</v>
      </c>
      <c r="E147" s="53">
        <f t="shared" si="13"/>
        <v>0.021066743264638976</v>
      </c>
      <c r="F147" s="20"/>
      <c r="G147" s="19">
        <f t="shared" si="15"/>
        <v>15658137</v>
      </c>
      <c r="H147" s="104">
        <f t="shared" si="18"/>
      </c>
      <c r="I147" s="15">
        <f aca="true" t="shared" si="19" ref="I147:I213">IF(Colm_De&gt;Mora_Final,"",IF(A147="","",((G147*E147)/30)*H147))</f>
      </c>
    </row>
    <row r="148" spans="1:9" ht="12.75" hidden="1">
      <c r="A148" s="93">
        <f t="shared" si="14"/>
        <v>45870</v>
      </c>
      <c r="B148" s="93">
        <f aca="true" t="shared" si="20" ref="B148:B213">IF(AND(A148&gt;=Primar_Sa,A148&lt;=Catmar_Sa),DATE(YEAR(A148),MONTH(A148),14),IF(AND(A148&gt;=Nuevo_Int_Sa,A148&lt;=SgN_Int_Sa),DATE(YEAR(A148),MONTH(A148),4),IF(A148=DATE(YEAR(Mora_Final),MONTH(Mora_Final),DAY(1)),DATE(YEAR(Mora_Final),MONTH(Mora_Final),DAY(Mora_Final)),DATE(YEAR(A148),MONTH(A148)+1,))))</f>
        <v>45900</v>
      </c>
      <c r="C148" s="87">
        <f>VLOOKUP(A148,'intereses desde el 71'!$A:$XFD,IF(A148&lt;Nuevo_Int_Sa,3,IF(Comercial_Sa="x",3,IF(Consumo_Sa="x",4,IF(Microcréd_Sa="x",5)))))</f>
        <v>0.1895</v>
      </c>
      <c r="D148" s="4">
        <f aca="true" t="shared" si="21" ref="D148:D213">IF(A148="","",(POWER((1+(C148*D$18)),(1/12)))-1)</f>
        <v>0.021066743264638976</v>
      </c>
      <c r="E148" s="53">
        <f aca="true" t="shared" si="22" ref="E148:E213">IF(A148="","",IF(B148&lt;=G$7,MIN(D$9,D148),MIN(D$12,D148)))</f>
        <v>0.021066743264638976</v>
      </c>
      <c r="F148" s="20"/>
      <c r="G148" s="19">
        <f t="shared" si="15"/>
        <v>15658137</v>
      </c>
      <c r="H148" s="104">
        <f t="shared" si="18"/>
      </c>
      <c r="I148" s="15">
        <f t="shared" si="19"/>
      </c>
    </row>
    <row r="149" spans="1:9" ht="12.75" hidden="1">
      <c r="A149" s="93">
        <f aca="true" t="shared" si="23" ref="A149:A212">DATE(YEAR(B148),MONTH(B148),DAY(B148)+1)</f>
        <v>45901</v>
      </c>
      <c r="B149" s="93">
        <f t="shared" si="20"/>
        <v>45930</v>
      </c>
      <c r="C149" s="87">
        <f>VLOOKUP(A149,'intereses desde el 71'!$A:$XFD,IF(A149&lt;Nuevo_Int_Sa,3,IF(Comercial_Sa="x",3,IF(Consumo_Sa="x",4,IF(Microcréd_Sa="x",5)))))</f>
        <v>0.1895</v>
      </c>
      <c r="D149" s="4">
        <f t="shared" si="21"/>
        <v>0.021066743264638976</v>
      </c>
      <c r="E149" s="53">
        <f t="shared" si="22"/>
        <v>0.021066743264638976</v>
      </c>
      <c r="F149" s="20"/>
      <c r="G149" s="19">
        <f aca="true" t="shared" si="24" ref="G149:G212">IF(A149="","",G148+F149)</f>
        <v>15658137</v>
      </c>
      <c r="H149" s="104">
        <f t="shared" si="18"/>
      </c>
      <c r="I149" s="15">
        <f t="shared" si="19"/>
      </c>
    </row>
    <row r="150" spans="1:9" ht="12.75" hidden="1">
      <c r="A150" s="93">
        <f t="shared" si="23"/>
        <v>45931</v>
      </c>
      <c r="B150" s="93">
        <f t="shared" si="20"/>
        <v>45961</v>
      </c>
      <c r="C150" s="87">
        <f>VLOOKUP(A150,'intereses desde el 71'!$A:$XFD,IF(A150&lt;Nuevo_Int_Sa,3,IF(Comercial_Sa="x",3,IF(Consumo_Sa="x",4,IF(Microcréd_Sa="x",5)))))</f>
        <v>0.1895</v>
      </c>
      <c r="D150" s="4">
        <f t="shared" si="21"/>
        <v>0.021066743264638976</v>
      </c>
      <c r="E150" s="53">
        <f t="shared" si="22"/>
        <v>0.021066743264638976</v>
      </c>
      <c r="F150" s="20"/>
      <c r="G150" s="19">
        <f t="shared" si="24"/>
        <v>15658137</v>
      </c>
      <c r="H150" s="104">
        <f t="shared" si="18"/>
      </c>
      <c r="I150" s="15">
        <f t="shared" si="19"/>
      </c>
    </row>
    <row r="151" spans="1:9" ht="12.75" hidden="1">
      <c r="A151" s="93">
        <f t="shared" si="23"/>
        <v>45962</v>
      </c>
      <c r="B151" s="93">
        <f t="shared" si="20"/>
        <v>45991</v>
      </c>
      <c r="C151" s="87">
        <f>VLOOKUP(A151,'intereses desde el 71'!$A:$XFD,IF(A151&lt;Nuevo_Int_Sa,3,IF(Comercial_Sa="x",3,IF(Consumo_Sa="x",4,IF(Microcréd_Sa="x",5)))))</f>
        <v>0.1895</v>
      </c>
      <c r="D151" s="4">
        <f t="shared" si="21"/>
        <v>0.021066743264638976</v>
      </c>
      <c r="E151" s="53">
        <f t="shared" si="22"/>
        <v>0.021066743264638976</v>
      </c>
      <c r="F151" s="20"/>
      <c r="G151" s="19">
        <f t="shared" si="24"/>
        <v>15658137</v>
      </c>
      <c r="H151" s="104">
        <f t="shared" si="18"/>
      </c>
      <c r="I151" s="15">
        <f t="shared" si="19"/>
      </c>
    </row>
    <row r="152" spans="1:9" ht="12.75" hidden="1">
      <c r="A152" s="93">
        <f t="shared" si="23"/>
        <v>45992</v>
      </c>
      <c r="B152" s="93">
        <f t="shared" si="20"/>
        <v>46022</v>
      </c>
      <c r="C152" s="87">
        <f>VLOOKUP(A152,'intereses desde el 71'!$A:$XFD,IF(A152&lt;Nuevo_Int_Sa,3,IF(Comercial_Sa="x",3,IF(Consumo_Sa="x",4,IF(Microcréd_Sa="x",5)))))</f>
        <v>0.1895</v>
      </c>
      <c r="D152" s="4">
        <f t="shared" si="21"/>
        <v>0.021066743264638976</v>
      </c>
      <c r="E152" s="53">
        <f t="shared" si="22"/>
        <v>0.021066743264638976</v>
      </c>
      <c r="F152" s="20"/>
      <c r="G152" s="19">
        <f t="shared" si="24"/>
        <v>15658137</v>
      </c>
      <c r="H152" s="104">
        <f t="shared" si="18"/>
      </c>
      <c r="I152" s="15">
        <f t="shared" si="19"/>
      </c>
    </row>
    <row r="153" spans="1:9" ht="12.75" hidden="1">
      <c r="A153" s="93">
        <f t="shared" si="23"/>
        <v>46023</v>
      </c>
      <c r="B153" s="93">
        <f t="shared" si="20"/>
        <v>46053</v>
      </c>
      <c r="C153" s="87">
        <f>VLOOKUP(A153,'intereses desde el 71'!$A:$XFD,IF(A153&lt;Nuevo_Int_Sa,3,IF(Comercial_Sa="x",3,IF(Consumo_Sa="x",4,IF(Microcréd_Sa="x",5)))))</f>
        <v>0.1895</v>
      </c>
      <c r="D153" s="4">
        <f t="shared" si="21"/>
        <v>0.021066743264638976</v>
      </c>
      <c r="E153" s="53">
        <f t="shared" si="22"/>
        <v>0.021066743264638976</v>
      </c>
      <c r="F153" s="20"/>
      <c r="G153" s="19">
        <f t="shared" si="24"/>
        <v>15658137</v>
      </c>
      <c r="H153" s="104">
        <f t="shared" si="18"/>
      </c>
      <c r="I153" s="15">
        <f t="shared" si="19"/>
      </c>
    </row>
    <row r="154" spans="1:9" ht="12.75" hidden="1">
      <c r="A154" s="93">
        <f t="shared" si="23"/>
        <v>46054</v>
      </c>
      <c r="B154" s="93">
        <f t="shared" si="20"/>
        <v>46081</v>
      </c>
      <c r="C154" s="87">
        <f>VLOOKUP(A154,'intereses desde el 71'!$A:$XFD,IF(A154&lt;Nuevo_Int_Sa,3,IF(Comercial_Sa="x",3,IF(Consumo_Sa="x",4,IF(Microcréd_Sa="x",5)))))</f>
        <v>0.1895</v>
      </c>
      <c r="D154" s="4">
        <f t="shared" si="21"/>
        <v>0.021066743264638976</v>
      </c>
      <c r="E154" s="53">
        <f t="shared" si="22"/>
        <v>0.021066743264638976</v>
      </c>
      <c r="F154" s="20"/>
      <c r="G154" s="19">
        <f t="shared" si="24"/>
        <v>15658137</v>
      </c>
      <c r="H154" s="104">
        <f t="shared" si="18"/>
      </c>
      <c r="I154" s="15">
        <f t="shared" si="19"/>
      </c>
    </row>
    <row r="155" spans="1:9" ht="12.75" hidden="1">
      <c r="A155" s="93">
        <f t="shared" si="23"/>
        <v>46082</v>
      </c>
      <c r="B155" s="93">
        <f t="shared" si="20"/>
        <v>46112</v>
      </c>
      <c r="C155" s="87">
        <f>VLOOKUP(A155,'intereses desde el 71'!$A:$XFD,IF(A155&lt;Nuevo_Int_Sa,3,IF(Comercial_Sa="x",3,IF(Consumo_Sa="x",4,IF(Microcréd_Sa="x",5)))))</f>
        <v>0.1895</v>
      </c>
      <c r="D155" s="4">
        <f t="shared" si="21"/>
        <v>0.021066743264638976</v>
      </c>
      <c r="E155" s="53">
        <f t="shared" si="22"/>
        <v>0.021066743264638976</v>
      </c>
      <c r="F155" s="20"/>
      <c r="G155" s="19">
        <f t="shared" si="24"/>
        <v>15658137</v>
      </c>
      <c r="H155" s="104">
        <f t="shared" si="18"/>
      </c>
      <c r="I155" s="15">
        <f t="shared" si="19"/>
      </c>
    </row>
    <row r="156" spans="1:9" ht="12.75" hidden="1">
      <c r="A156" s="93">
        <f t="shared" si="23"/>
        <v>46113</v>
      </c>
      <c r="B156" s="93">
        <f t="shared" si="20"/>
        <v>46142</v>
      </c>
      <c r="C156" s="87">
        <f>VLOOKUP(A156,'intereses desde el 71'!$A:$XFD,IF(A156&lt;Nuevo_Int_Sa,3,IF(Comercial_Sa="x",3,IF(Consumo_Sa="x",4,IF(Microcréd_Sa="x",5)))))</f>
        <v>0.1895</v>
      </c>
      <c r="D156" s="4">
        <f t="shared" si="21"/>
        <v>0.021066743264638976</v>
      </c>
      <c r="E156" s="53">
        <f t="shared" si="22"/>
        <v>0.021066743264638976</v>
      </c>
      <c r="F156" s="20"/>
      <c r="G156" s="19">
        <f t="shared" si="24"/>
        <v>15658137</v>
      </c>
      <c r="H156" s="104">
        <f t="shared" si="18"/>
      </c>
      <c r="I156" s="15">
        <f t="shared" si="19"/>
      </c>
    </row>
    <row r="157" spans="1:9" ht="12.75" hidden="1">
      <c r="A157" s="93">
        <f t="shared" si="23"/>
        <v>46143</v>
      </c>
      <c r="B157" s="93">
        <f t="shared" si="20"/>
        <v>46173</v>
      </c>
      <c r="C157" s="87">
        <f>VLOOKUP(A157,'intereses desde el 71'!$A:$XFD,IF(A157&lt;Nuevo_Int_Sa,3,IF(Comercial_Sa="x",3,IF(Consumo_Sa="x",4,IF(Microcréd_Sa="x",5)))))</f>
        <v>0.1895</v>
      </c>
      <c r="D157" s="4">
        <f t="shared" si="21"/>
        <v>0.021066743264638976</v>
      </c>
      <c r="E157" s="53">
        <f t="shared" si="22"/>
        <v>0.021066743264638976</v>
      </c>
      <c r="F157" s="20"/>
      <c r="G157" s="19">
        <f t="shared" si="24"/>
        <v>15658137</v>
      </c>
      <c r="H157" s="104">
        <f t="shared" si="18"/>
      </c>
      <c r="I157" s="15">
        <f t="shared" si="19"/>
      </c>
    </row>
    <row r="158" spans="1:9" ht="12.75" hidden="1">
      <c r="A158" s="93">
        <f t="shared" si="23"/>
        <v>46174</v>
      </c>
      <c r="B158" s="93">
        <f t="shared" si="20"/>
        <v>46203</v>
      </c>
      <c r="C158" s="87">
        <f>VLOOKUP(A158,'intereses desde el 71'!$A:$XFD,IF(A158&lt;Nuevo_Int_Sa,3,IF(Comercial_Sa="x",3,IF(Consumo_Sa="x",4,IF(Microcréd_Sa="x",5)))))</f>
        <v>0.1895</v>
      </c>
      <c r="D158" s="4">
        <f t="shared" si="21"/>
        <v>0.021066743264638976</v>
      </c>
      <c r="E158" s="53">
        <f t="shared" si="22"/>
        <v>0.021066743264638976</v>
      </c>
      <c r="F158" s="20"/>
      <c r="G158" s="19">
        <f t="shared" si="24"/>
        <v>15658137</v>
      </c>
      <c r="H158" s="104">
        <f t="shared" si="18"/>
      </c>
      <c r="I158" s="15">
        <f t="shared" si="19"/>
      </c>
    </row>
    <row r="159" spans="1:9" ht="12.75" hidden="1">
      <c r="A159" s="93">
        <f t="shared" si="23"/>
        <v>46204</v>
      </c>
      <c r="B159" s="93">
        <f t="shared" si="20"/>
        <v>46234</v>
      </c>
      <c r="C159" s="87">
        <f>VLOOKUP(A159,'intereses desde el 71'!$A:$XFD,IF(A159&lt;Nuevo_Int_Sa,3,IF(Comercial_Sa="x",3,IF(Consumo_Sa="x",4,IF(Microcréd_Sa="x",5)))))</f>
        <v>0.1895</v>
      </c>
      <c r="D159" s="4">
        <f t="shared" si="21"/>
        <v>0.021066743264638976</v>
      </c>
      <c r="E159" s="53">
        <f t="shared" si="22"/>
        <v>0.021066743264638976</v>
      </c>
      <c r="F159" s="20"/>
      <c r="G159" s="19">
        <f t="shared" si="24"/>
        <v>15658137</v>
      </c>
      <c r="H159" s="104">
        <f t="shared" si="18"/>
      </c>
      <c r="I159" s="15">
        <f t="shared" si="19"/>
      </c>
    </row>
    <row r="160" spans="1:9" ht="12.75" hidden="1">
      <c r="A160" s="93">
        <f t="shared" si="23"/>
        <v>46235</v>
      </c>
      <c r="B160" s="93">
        <f t="shared" si="20"/>
        <v>46265</v>
      </c>
      <c r="C160" s="87">
        <f>VLOOKUP(A160,'intereses desde el 71'!$A:$XFD,IF(A160&lt;Nuevo_Int_Sa,3,IF(Comercial_Sa="x",3,IF(Consumo_Sa="x",4,IF(Microcréd_Sa="x",5)))))</f>
        <v>0.1895</v>
      </c>
      <c r="D160" s="4">
        <f t="shared" si="21"/>
        <v>0.021066743264638976</v>
      </c>
      <c r="E160" s="53">
        <f t="shared" si="22"/>
        <v>0.021066743264638976</v>
      </c>
      <c r="F160" s="20"/>
      <c r="G160" s="19">
        <f t="shared" si="24"/>
        <v>15658137</v>
      </c>
      <c r="H160" s="104">
        <f t="shared" si="18"/>
      </c>
      <c r="I160" s="15">
        <f t="shared" si="19"/>
      </c>
    </row>
    <row r="161" spans="1:9" ht="12.75" hidden="1">
      <c r="A161" s="93">
        <f t="shared" si="23"/>
        <v>46266</v>
      </c>
      <c r="B161" s="93">
        <f t="shared" si="20"/>
        <v>46295</v>
      </c>
      <c r="C161" s="87">
        <f>VLOOKUP(A161,'intereses desde el 71'!$A:$XFD,IF(A161&lt;Nuevo_Int_Sa,3,IF(Comercial_Sa="x",3,IF(Consumo_Sa="x",4,IF(Microcréd_Sa="x",5)))))</f>
        <v>0.1895</v>
      </c>
      <c r="D161" s="4">
        <f t="shared" si="21"/>
        <v>0.021066743264638976</v>
      </c>
      <c r="E161" s="53">
        <f t="shared" si="22"/>
        <v>0.021066743264638976</v>
      </c>
      <c r="F161" s="20"/>
      <c r="G161" s="19">
        <f t="shared" si="24"/>
        <v>15658137</v>
      </c>
      <c r="H161" s="104">
        <f t="shared" si="18"/>
      </c>
      <c r="I161" s="15">
        <f>IF(Colm_De&gt;Mora_Final,"",IF(A161="","",((G161*E161)/30)*H161))</f>
      </c>
    </row>
    <row r="162" spans="1:9" ht="12.75" hidden="1">
      <c r="A162" s="93">
        <f t="shared" si="23"/>
        <v>46296</v>
      </c>
      <c r="B162" s="93">
        <f t="shared" si="20"/>
        <v>46326</v>
      </c>
      <c r="C162" s="87">
        <f>VLOOKUP(A162,'intereses desde el 71'!$A:$XFD,IF(A162&lt;Nuevo_Int_Sa,3,IF(Comercial_Sa="x",3,IF(Consumo_Sa="x",4,IF(Microcréd_Sa="x",5)))))</f>
        <v>0.1895</v>
      </c>
      <c r="D162" s="4">
        <f t="shared" si="21"/>
        <v>0.021066743264638976</v>
      </c>
      <c r="E162" s="53">
        <f t="shared" si="22"/>
        <v>0.021066743264638976</v>
      </c>
      <c r="F162" s="20"/>
      <c r="G162" s="19">
        <f t="shared" si="24"/>
        <v>15658137</v>
      </c>
      <c r="H162" s="104">
        <f t="shared" si="18"/>
      </c>
      <c r="I162" s="15">
        <f t="shared" si="19"/>
      </c>
    </row>
    <row r="163" spans="1:9" ht="12.75" hidden="1">
      <c r="A163" s="93">
        <f t="shared" si="23"/>
        <v>46327</v>
      </c>
      <c r="B163" s="93">
        <f t="shared" si="20"/>
        <v>46356</v>
      </c>
      <c r="C163" s="87">
        <f>VLOOKUP(A163,'intereses desde el 71'!$A:$XFD,IF(A163&lt;Nuevo_Int_Sa,3,IF(Comercial_Sa="x",3,IF(Consumo_Sa="x",4,IF(Microcréd_Sa="x",5)))))</f>
        <v>0.1895</v>
      </c>
      <c r="D163" s="4">
        <f t="shared" si="21"/>
        <v>0.021066743264638976</v>
      </c>
      <c r="E163" s="53">
        <f t="shared" si="22"/>
        <v>0.021066743264638976</v>
      </c>
      <c r="F163" s="20"/>
      <c r="G163" s="19">
        <f t="shared" si="24"/>
        <v>15658137</v>
      </c>
      <c r="H163" s="104">
        <f t="shared" si="18"/>
      </c>
      <c r="I163" s="15">
        <f t="shared" si="19"/>
      </c>
    </row>
    <row r="164" spans="1:9" ht="12.75" hidden="1">
      <c r="A164" s="93">
        <f t="shared" si="23"/>
        <v>46357</v>
      </c>
      <c r="B164" s="93">
        <f t="shared" si="20"/>
        <v>46387</v>
      </c>
      <c r="C164" s="87">
        <f>VLOOKUP(A164,'intereses desde el 71'!$A:$XFD,IF(A164&lt;Nuevo_Int_Sa,3,IF(Comercial_Sa="x",3,IF(Consumo_Sa="x",4,IF(Microcréd_Sa="x",5)))))</f>
        <v>0.1895</v>
      </c>
      <c r="D164" s="4">
        <f t="shared" si="21"/>
        <v>0.021066743264638976</v>
      </c>
      <c r="E164" s="53">
        <f t="shared" si="22"/>
        <v>0.021066743264638976</v>
      </c>
      <c r="F164" s="20"/>
      <c r="G164" s="19">
        <f t="shared" si="24"/>
        <v>15658137</v>
      </c>
      <c r="H164" s="104">
        <f t="shared" si="18"/>
      </c>
      <c r="I164" s="15">
        <f t="shared" si="19"/>
      </c>
    </row>
    <row r="165" spans="1:9" ht="12.75" hidden="1">
      <c r="A165" s="93">
        <f t="shared" si="23"/>
        <v>46388</v>
      </c>
      <c r="B165" s="93">
        <f t="shared" si="20"/>
        <v>46418</v>
      </c>
      <c r="C165" s="87">
        <f>VLOOKUP(A165,'intereses desde el 71'!$A:$XFD,IF(A165&lt;Nuevo_Int_Sa,3,IF(Comercial_Sa="x",3,IF(Consumo_Sa="x",4,IF(Microcréd_Sa="x",5)))))</f>
        <v>0.1895</v>
      </c>
      <c r="D165" s="4">
        <f t="shared" si="21"/>
        <v>0.021066743264638976</v>
      </c>
      <c r="E165" s="53">
        <f t="shared" si="22"/>
        <v>0.021066743264638976</v>
      </c>
      <c r="F165" s="20"/>
      <c r="G165" s="19">
        <f t="shared" si="24"/>
        <v>15658137</v>
      </c>
      <c r="H165" s="104">
        <f t="shared" si="18"/>
      </c>
      <c r="I165" s="15">
        <f t="shared" si="19"/>
      </c>
    </row>
    <row r="166" spans="1:9" ht="12.75" hidden="1">
      <c r="A166" s="93">
        <f t="shared" si="23"/>
        <v>46419</v>
      </c>
      <c r="B166" s="93">
        <f t="shared" si="20"/>
        <v>46446</v>
      </c>
      <c r="C166" s="87">
        <f>VLOOKUP(A166,'intereses desde el 71'!$A:$XFD,IF(A166&lt;Nuevo_Int_Sa,3,IF(Comercial_Sa="x",3,IF(Consumo_Sa="x",4,IF(Microcréd_Sa="x",5)))))</f>
        <v>0.1895</v>
      </c>
      <c r="D166" s="4">
        <f t="shared" si="21"/>
        <v>0.021066743264638976</v>
      </c>
      <c r="E166" s="53">
        <f t="shared" si="22"/>
        <v>0.021066743264638976</v>
      </c>
      <c r="F166" s="20"/>
      <c r="G166" s="19">
        <f t="shared" si="24"/>
        <v>15658137</v>
      </c>
      <c r="H166" s="104">
        <f t="shared" si="18"/>
      </c>
      <c r="I166" s="15">
        <f t="shared" si="19"/>
      </c>
    </row>
    <row r="167" spans="1:9" ht="12.75" hidden="1">
      <c r="A167" s="93">
        <f t="shared" si="23"/>
        <v>46447</v>
      </c>
      <c r="B167" s="93">
        <f t="shared" si="20"/>
        <v>46477</v>
      </c>
      <c r="C167" s="87">
        <f>VLOOKUP(A167,'intereses desde el 71'!$A:$XFD,IF(A167&lt;Nuevo_Int_Sa,3,IF(Comercial_Sa="x",3,IF(Consumo_Sa="x",4,IF(Microcréd_Sa="x",5)))))</f>
        <v>0.1895</v>
      </c>
      <c r="D167" s="4">
        <f t="shared" si="21"/>
        <v>0.021066743264638976</v>
      </c>
      <c r="E167" s="53">
        <f t="shared" si="22"/>
        <v>0.021066743264638976</v>
      </c>
      <c r="F167" s="20"/>
      <c r="G167" s="19">
        <f t="shared" si="24"/>
        <v>15658137</v>
      </c>
      <c r="H167" s="104">
        <f t="shared" si="18"/>
      </c>
      <c r="I167" s="15">
        <f t="shared" si="19"/>
      </c>
    </row>
    <row r="168" spans="1:9" ht="12.75" hidden="1">
      <c r="A168" s="93">
        <f t="shared" si="23"/>
        <v>46478</v>
      </c>
      <c r="B168" s="93">
        <f t="shared" si="20"/>
        <v>46507</v>
      </c>
      <c r="C168" s="87">
        <f>VLOOKUP(A168,'intereses desde el 71'!$A:$XFD,IF(A168&lt;Nuevo_Int_Sa,3,IF(Comercial_Sa="x",3,IF(Consumo_Sa="x",4,IF(Microcréd_Sa="x",5)))))</f>
        <v>0.1895</v>
      </c>
      <c r="D168" s="4">
        <f t="shared" si="21"/>
        <v>0.021066743264638976</v>
      </c>
      <c r="E168" s="53">
        <f t="shared" si="22"/>
        <v>0.021066743264638976</v>
      </c>
      <c r="F168" s="20"/>
      <c r="G168" s="19">
        <f t="shared" si="24"/>
        <v>15658137</v>
      </c>
      <c r="H168" s="104">
        <f t="shared" si="18"/>
      </c>
      <c r="I168" s="15">
        <f t="shared" si="19"/>
      </c>
    </row>
    <row r="169" spans="1:9" ht="12.75" hidden="1">
      <c r="A169" s="93">
        <f t="shared" si="23"/>
        <v>46508</v>
      </c>
      <c r="B169" s="93">
        <f t="shared" si="20"/>
        <v>46538</v>
      </c>
      <c r="C169" s="87">
        <f>VLOOKUP(A169,'intereses desde el 71'!$A:$XFD,IF(A169&lt;Nuevo_Int_Sa,3,IF(Comercial_Sa="x",3,IF(Consumo_Sa="x",4,IF(Microcréd_Sa="x",5)))))</f>
        <v>0.1895</v>
      </c>
      <c r="D169" s="4">
        <f t="shared" si="21"/>
        <v>0.021066743264638976</v>
      </c>
      <c r="E169" s="53">
        <f t="shared" si="22"/>
        <v>0.021066743264638976</v>
      </c>
      <c r="F169" s="20"/>
      <c r="G169" s="19">
        <f t="shared" si="24"/>
        <v>15658137</v>
      </c>
      <c r="H169" s="104">
        <f t="shared" si="18"/>
      </c>
      <c r="I169" s="15">
        <f t="shared" si="19"/>
      </c>
    </row>
    <row r="170" spans="1:9" ht="12.75" hidden="1">
      <c r="A170" s="93">
        <f t="shared" si="23"/>
        <v>46539</v>
      </c>
      <c r="B170" s="93">
        <f t="shared" si="20"/>
        <v>46568</v>
      </c>
      <c r="C170" s="87">
        <f>VLOOKUP(A170,'intereses desde el 71'!$A:$XFD,IF(A170&lt;Nuevo_Int_Sa,3,IF(Comercial_Sa="x",3,IF(Consumo_Sa="x",4,IF(Microcréd_Sa="x",5)))))</f>
        <v>0.1895</v>
      </c>
      <c r="D170" s="4">
        <f t="shared" si="21"/>
        <v>0.021066743264638976</v>
      </c>
      <c r="E170" s="53">
        <f t="shared" si="22"/>
        <v>0.021066743264638976</v>
      </c>
      <c r="F170" s="20"/>
      <c r="G170" s="19">
        <f t="shared" si="24"/>
        <v>15658137</v>
      </c>
      <c r="H170" s="104">
        <f t="shared" si="18"/>
      </c>
      <c r="I170" s="15">
        <f t="shared" si="19"/>
      </c>
    </row>
    <row r="171" spans="1:9" ht="12.75" hidden="1">
      <c r="A171" s="93">
        <f t="shared" si="23"/>
        <v>46569</v>
      </c>
      <c r="B171" s="93">
        <f t="shared" si="20"/>
        <v>46599</v>
      </c>
      <c r="C171" s="87">
        <f>VLOOKUP(A171,'intereses desde el 71'!$A:$XFD,IF(A171&lt;Nuevo_Int_Sa,3,IF(Comercial_Sa="x",3,IF(Consumo_Sa="x",4,IF(Microcréd_Sa="x",5)))))</f>
        <v>0.1895</v>
      </c>
      <c r="D171" s="4">
        <f t="shared" si="21"/>
        <v>0.021066743264638976</v>
      </c>
      <c r="E171" s="53">
        <f t="shared" si="22"/>
        <v>0.021066743264638976</v>
      </c>
      <c r="F171" s="20"/>
      <c r="G171" s="19">
        <f t="shared" si="24"/>
        <v>15658137</v>
      </c>
      <c r="H171" s="104">
        <f t="shared" si="18"/>
      </c>
      <c r="I171" s="15">
        <f t="shared" si="19"/>
      </c>
    </row>
    <row r="172" spans="1:9" ht="12.75" hidden="1">
      <c r="A172" s="93">
        <f t="shared" si="23"/>
        <v>46600</v>
      </c>
      <c r="B172" s="93">
        <f t="shared" si="20"/>
        <v>46630</v>
      </c>
      <c r="C172" s="87">
        <f>VLOOKUP(A172,'intereses desde el 71'!$A:$XFD,IF(A172&lt;Nuevo_Int_Sa,3,IF(Comercial_Sa="x",3,IF(Consumo_Sa="x",4,IF(Microcréd_Sa="x",5)))))</f>
        <v>0.1895</v>
      </c>
      <c r="D172" s="4">
        <f t="shared" si="21"/>
        <v>0.021066743264638976</v>
      </c>
      <c r="E172" s="53">
        <f t="shared" si="22"/>
        <v>0.021066743264638976</v>
      </c>
      <c r="F172" s="20"/>
      <c r="G172" s="19">
        <f t="shared" si="24"/>
        <v>15658137</v>
      </c>
      <c r="H172" s="104">
        <f t="shared" si="18"/>
      </c>
      <c r="I172" s="15">
        <f t="shared" si="19"/>
      </c>
    </row>
    <row r="173" spans="1:9" ht="12.75" hidden="1">
      <c r="A173" s="93">
        <f t="shared" si="23"/>
        <v>46631</v>
      </c>
      <c r="B173" s="93">
        <f t="shared" si="20"/>
        <v>46660</v>
      </c>
      <c r="C173" s="87">
        <f>VLOOKUP(A173,'intereses desde el 71'!$A:$XFD,IF(A173&lt;Nuevo_Int_Sa,3,IF(Comercial_Sa="x",3,IF(Consumo_Sa="x",4,IF(Microcréd_Sa="x",5)))))</f>
        <v>0.1895</v>
      </c>
      <c r="D173" s="4">
        <f t="shared" si="21"/>
        <v>0.021066743264638976</v>
      </c>
      <c r="E173" s="53">
        <f t="shared" si="22"/>
        <v>0.021066743264638976</v>
      </c>
      <c r="F173" s="20"/>
      <c r="G173" s="19">
        <f t="shared" si="24"/>
        <v>15658137</v>
      </c>
      <c r="H173" s="104">
        <f t="shared" si="18"/>
      </c>
      <c r="I173" s="15">
        <f t="shared" si="19"/>
      </c>
    </row>
    <row r="174" spans="1:9" ht="12.75" hidden="1">
      <c r="A174" s="93">
        <f t="shared" si="23"/>
        <v>46661</v>
      </c>
      <c r="B174" s="93">
        <f t="shared" si="20"/>
        <v>46691</v>
      </c>
      <c r="C174" s="87">
        <f>VLOOKUP(A174,'intereses desde el 71'!$A:$XFD,IF(A174&lt;Nuevo_Int_Sa,3,IF(Comercial_Sa="x",3,IF(Consumo_Sa="x",4,IF(Microcréd_Sa="x",5)))))</f>
        <v>0.1895</v>
      </c>
      <c r="D174" s="4">
        <f t="shared" si="21"/>
        <v>0.021066743264638976</v>
      </c>
      <c r="E174" s="53">
        <f t="shared" si="22"/>
        <v>0.021066743264638976</v>
      </c>
      <c r="F174" s="20"/>
      <c r="G174" s="19">
        <f t="shared" si="24"/>
        <v>15658137</v>
      </c>
      <c r="H174" s="104">
        <f t="shared" si="18"/>
      </c>
      <c r="I174" s="15">
        <f t="shared" si="19"/>
      </c>
    </row>
    <row r="175" spans="1:9" ht="12.75" hidden="1">
      <c r="A175" s="93">
        <f t="shared" si="23"/>
        <v>46692</v>
      </c>
      <c r="B175" s="93">
        <f t="shared" si="20"/>
        <v>46721</v>
      </c>
      <c r="C175" s="87">
        <f>VLOOKUP(A175,'intereses desde el 71'!$A:$XFD,IF(A175&lt;Nuevo_Int_Sa,3,IF(Comercial_Sa="x",3,IF(Consumo_Sa="x",4,IF(Microcréd_Sa="x",5)))))</f>
        <v>0.1895</v>
      </c>
      <c r="D175" s="4">
        <f t="shared" si="21"/>
        <v>0.021066743264638976</v>
      </c>
      <c r="E175" s="53">
        <f t="shared" si="22"/>
        <v>0.021066743264638976</v>
      </c>
      <c r="F175" s="20"/>
      <c r="G175" s="19">
        <f t="shared" si="24"/>
        <v>15658137</v>
      </c>
      <c r="H175" s="104">
        <f t="shared" si="18"/>
      </c>
      <c r="I175" s="15">
        <f t="shared" si="19"/>
      </c>
    </row>
    <row r="176" spans="1:9" ht="12.75" hidden="1">
      <c r="A176" s="93">
        <f t="shared" si="23"/>
        <v>46722</v>
      </c>
      <c r="B176" s="93">
        <f t="shared" si="20"/>
        <v>46752</v>
      </c>
      <c r="C176" s="87">
        <f>VLOOKUP(A176,'intereses desde el 71'!$A:$XFD,IF(A176&lt;Nuevo_Int_Sa,3,IF(Comercial_Sa="x",3,IF(Consumo_Sa="x",4,IF(Microcréd_Sa="x",5)))))</f>
        <v>0.1895</v>
      </c>
      <c r="D176" s="4">
        <f t="shared" si="21"/>
        <v>0.021066743264638976</v>
      </c>
      <c r="E176" s="53">
        <f t="shared" si="22"/>
        <v>0.021066743264638976</v>
      </c>
      <c r="F176" s="20"/>
      <c r="G176" s="19">
        <f t="shared" si="24"/>
        <v>15658137</v>
      </c>
      <c r="H176" s="104">
        <f t="shared" si="18"/>
      </c>
      <c r="I176" s="15">
        <f t="shared" si="19"/>
      </c>
    </row>
    <row r="177" spans="1:9" ht="12.75" hidden="1">
      <c r="A177" s="93">
        <f t="shared" si="23"/>
        <v>46753</v>
      </c>
      <c r="B177" s="93">
        <f t="shared" si="20"/>
        <v>46783</v>
      </c>
      <c r="C177" s="87">
        <f>VLOOKUP(A177,'intereses desde el 71'!$A:$XFD,IF(A177&lt;Nuevo_Int_Sa,3,IF(Comercial_Sa="x",3,IF(Consumo_Sa="x",4,IF(Microcréd_Sa="x",5)))))</f>
        <v>0.1895</v>
      </c>
      <c r="D177" s="4">
        <f t="shared" si="21"/>
        <v>0.021066743264638976</v>
      </c>
      <c r="E177" s="53">
        <f t="shared" si="22"/>
        <v>0.021066743264638976</v>
      </c>
      <c r="F177" s="20"/>
      <c r="G177" s="19">
        <f t="shared" si="24"/>
        <v>15658137</v>
      </c>
      <c r="H177" s="104">
        <f t="shared" si="18"/>
      </c>
      <c r="I177" s="15">
        <f t="shared" si="19"/>
      </c>
    </row>
    <row r="178" spans="1:9" ht="12.75" hidden="1">
      <c r="A178" s="93">
        <f t="shared" si="23"/>
        <v>46784</v>
      </c>
      <c r="B178" s="93">
        <f t="shared" si="20"/>
        <v>46812</v>
      </c>
      <c r="C178" s="87">
        <f>VLOOKUP(A178,'intereses desde el 71'!$A:$XFD,IF(A178&lt;Nuevo_Int_Sa,3,IF(Comercial_Sa="x",3,IF(Consumo_Sa="x",4,IF(Microcréd_Sa="x",5)))))</f>
        <v>0.1895</v>
      </c>
      <c r="D178" s="4">
        <f t="shared" si="21"/>
        <v>0.021066743264638976</v>
      </c>
      <c r="E178" s="53">
        <f t="shared" si="22"/>
        <v>0.021066743264638976</v>
      </c>
      <c r="F178" s="20"/>
      <c r="G178" s="19">
        <f t="shared" si="24"/>
        <v>15658137</v>
      </c>
      <c r="H178" s="104">
        <f t="shared" si="18"/>
      </c>
      <c r="I178" s="15">
        <f t="shared" si="19"/>
      </c>
    </row>
    <row r="179" spans="1:9" ht="12.75" hidden="1">
      <c r="A179" s="93">
        <f t="shared" si="23"/>
        <v>46813</v>
      </c>
      <c r="B179" s="93">
        <f t="shared" si="20"/>
        <v>46843</v>
      </c>
      <c r="C179" s="87">
        <f>VLOOKUP(A179,'intereses desde el 71'!$A:$XFD,IF(A179&lt;Nuevo_Int_Sa,3,IF(Comercial_Sa="x",3,IF(Consumo_Sa="x",4,IF(Microcréd_Sa="x",5)))))</f>
        <v>0.1895</v>
      </c>
      <c r="D179" s="4">
        <f t="shared" si="21"/>
        <v>0.021066743264638976</v>
      </c>
      <c r="E179" s="53">
        <f t="shared" si="22"/>
        <v>0.021066743264638976</v>
      </c>
      <c r="F179" s="20"/>
      <c r="G179" s="19">
        <f t="shared" si="24"/>
        <v>15658137</v>
      </c>
      <c r="H179" s="104">
        <f t="shared" si="18"/>
      </c>
      <c r="I179" s="15">
        <f t="shared" si="19"/>
      </c>
    </row>
    <row r="180" spans="1:9" ht="12.75" hidden="1">
      <c r="A180" s="93">
        <f t="shared" si="23"/>
        <v>46844</v>
      </c>
      <c r="B180" s="93">
        <f t="shared" si="20"/>
        <v>46873</v>
      </c>
      <c r="C180" s="87">
        <f>VLOOKUP(A180,'intereses desde el 71'!$A:$XFD,IF(A180&lt;Nuevo_Int_Sa,3,IF(Comercial_Sa="x",3,IF(Consumo_Sa="x",4,IF(Microcréd_Sa="x",5)))))</f>
        <v>0.1895</v>
      </c>
      <c r="D180" s="4">
        <f t="shared" si="21"/>
        <v>0.021066743264638976</v>
      </c>
      <c r="E180" s="53">
        <f t="shared" si="22"/>
        <v>0.021066743264638976</v>
      </c>
      <c r="F180" s="20"/>
      <c r="G180" s="19">
        <f t="shared" si="24"/>
        <v>15658137</v>
      </c>
      <c r="H180" s="104">
        <f t="shared" si="18"/>
      </c>
      <c r="I180" s="15">
        <f t="shared" si="19"/>
      </c>
    </row>
    <row r="181" spans="1:9" ht="12.75" hidden="1">
      <c r="A181" s="93">
        <f t="shared" si="23"/>
        <v>46874</v>
      </c>
      <c r="B181" s="93">
        <f t="shared" si="20"/>
        <v>46904</v>
      </c>
      <c r="C181" s="87">
        <f>VLOOKUP(A181,'intereses desde el 71'!$A:$XFD,IF(A181&lt;Nuevo_Int_Sa,3,IF(Comercial_Sa="x",3,IF(Consumo_Sa="x",4,IF(Microcréd_Sa="x",5)))))</f>
        <v>0.1895</v>
      </c>
      <c r="D181" s="4">
        <f t="shared" si="21"/>
        <v>0.021066743264638976</v>
      </c>
      <c r="E181" s="53">
        <f t="shared" si="22"/>
        <v>0.021066743264638976</v>
      </c>
      <c r="F181" s="20"/>
      <c r="G181" s="19">
        <f t="shared" si="24"/>
        <v>15658137</v>
      </c>
      <c r="H181" s="104">
        <f t="shared" si="18"/>
      </c>
      <c r="I181" s="15">
        <f t="shared" si="19"/>
      </c>
    </row>
    <row r="182" spans="1:9" ht="12.75" hidden="1">
      <c r="A182" s="93">
        <f t="shared" si="23"/>
        <v>46905</v>
      </c>
      <c r="B182" s="93">
        <f t="shared" si="20"/>
        <v>46934</v>
      </c>
      <c r="C182" s="87">
        <f>VLOOKUP(A182,'intereses desde el 71'!$A:$XFD,IF(A182&lt;Nuevo_Int_Sa,3,IF(Comercial_Sa="x",3,IF(Consumo_Sa="x",4,IF(Microcréd_Sa="x",5)))))</f>
        <v>0.1895</v>
      </c>
      <c r="D182" s="4">
        <f t="shared" si="21"/>
        <v>0.021066743264638976</v>
      </c>
      <c r="E182" s="53">
        <f t="shared" si="22"/>
        <v>0.021066743264638976</v>
      </c>
      <c r="F182" s="20"/>
      <c r="G182" s="19">
        <f t="shared" si="24"/>
        <v>15658137</v>
      </c>
      <c r="H182" s="104">
        <f t="shared" si="18"/>
      </c>
      <c r="I182" s="15">
        <f t="shared" si="19"/>
      </c>
    </row>
    <row r="183" spans="1:9" ht="12.75" hidden="1">
      <c r="A183" s="93">
        <f t="shared" si="23"/>
        <v>46935</v>
      </c>
      <c r="B183" s="93">
        <f t="shared" si="20"/>
        <v>46965</v>
      </c>
      <c r="C183" s="87">
        <f>VLOOKUP(A183,'intereses desde el 71'!$A:$XFD,IF(A183&lt;Nuevo_Int_Sa,3,IF(Comercial_Sa="x",3,IF(Consumo_Sa="x",4,IF(Microcréd_Sa="x",5)))))</f>
        <v>0.1895</v>
      </c>
      <c r="D183" s="4">
        <f t="shared" si="21"/>
        <v>0.021066743264638976</v>
      </c>
      <c r="E183" s="53">
        <f t="shared" si="22"/>
        <v>0.021066743264638976</v>
      </c>
      <c r="F183" s="20"/>
      <c r="G183" s="19">
        <f t="shared" si="24"/>
        <v>15658137</v>
      </c>
      <c r="H183" s="104">
        <f t="shared" si="18"/>
      </c>
      <c r="I183" s="15">
        <f t="shared" si="19"/>
      </c>
    </row>
    <row r="184" spans="1:9" ht="12.75" hidden="1">
      <c r="A184" s="93">
        <f t="shared" si="23"/>
        <v>46966</v>
      </c>
      <c r="B184" s="93">
        <f t="shared" si="20"/>
        <v>46996</v>
      </c>
      <c r="C184" s="87">
        <f>VLOOKUP(A184,'intereses desde el 71'!$A:$XFD,IF(A184&lt;Nuevo_Int_Sa,3,IF(Comercial_Sa="x",3,IF(Consumo_Sa="x",4,IF(Microcréd_Sa="x",5)))))</f>
        <v>0.1895</v>
      </c>
      <c r="D184" s="4">
        <f t="shared" si="21"/>
        <v>0.021066743264638976</v>
      </c>
      <c r="E184" s="53">
        <f t="shared" si="22"/>
        <v>0.021066743264638976</v>
      </c>
      <c r="F184" s="20"/>
      <c r="G184" s="19">
        <f t="shared" si="24"/>
        <v>15658137</v>
      </c>
      <c r="H184" s="104">
        <f t="shared" si="18"/>
      </c>
      <c r="I184" s="15">
        <f t="shared" si="19"/>
      </c>
    </row>
    <row r="185" spans="1:9" ht="12.75" hidden="1">
      <c r="A185" s="93">
        <f t="shared" si="23"/>
        <v>46997</v>
      </c>
      <c r="B185" s="93">
        <f t="shared" si="20"/>
        <v>47026</v>
      </c>
      <c r="C185" s="87">
        <f>VLOOKUP(A185,'intereses desde el 71'!$A:$XFD,IF(A185&lt;Nuevo_Int_Sa,3,IF(Comercial_Sa="x",3,IF(Consumo_Sa="x",4,IF(Microcréd_Sa="x",5)))))</f>
        <v>0.1895</v>
      </c>
      <c r="D185" s="4">
        <f t="shared" si="21"/>
        <v>0.021066743264638976</v>
      </c>
      <c r="E185" s="53">
        <f t="shared" si="22"/>
        <v>0.021066743264638976</v>
      </c>
      <c r="F185" s="20"/>
      <c r="G185" s="19">
        <f t="shared" si="24"/>
        <v>15658137</v>
      </c>
      <c r="H185" s="104">
        <f t="shared" si="18"/>
      </c>
      <c r="I185" s="15">
        <f t="shared" si="19"/>
      </c>
    </row>
    <row r="186" spans="1:9" ht="12.75" hidden="1">
      <c r="A186" s="93">
        <f t="shared" si="23"/>
        <v>47027</v>
      </c>
      <c r="B186" s="93">
        <f t="shared" si="20"/>
        <v>47057</v>
      </c>
      <c r="C186" s="87">
        <f>VLOOKUP(A186,'intereses desde el 71'!$A:$XFD,IF(A186&lt;Nuevo_Int_Sa,3,IF(Comercial_Sa="x",3,IF(Consumo_Sa="x",4,IF(Microcréd_Sa="x",5)))))</f>
        <v>0.1895</v>
      </c>
      <c r="D186" s="4">
        <f t="shared" si="21"/>
        <v>0.021066743264638976</v>
      </c>
      <c r="E186" s="53">
        <f t="shared" si="22"/>
        <v>0.021066743264638976</v>
      </c>
      <c r="F186" s="20"/>
      <c r="G186" s="19">
        <f t="shared" si="24"/>
        <v>15658137</v>
      </c>
      <c r="H186" s="104">
        <f t="shared" si="18"/>
      </c>
      <c r="I186" s="15">
        <f t="shared" si="19"/>
      </c>
    </row>
    <row r="187" spans="1:9" ht="12.75" hidden="1">
      <c r="A187" s="93">
        <f t="shared" si="23"/>
        <v>47058</v>
      </c>
      <c r="B187" s="93">
        <f t="shared" si="20"/>
        <v>47087</v>
      </c>
      <c r="C187" s="87">
        <f>VLOOKUP(A187,'intereses desde el 71'!$A:$XFD,IF(A187&lt;Nuevo_Int_Sa,3,IF(Comercial_Sa="x",3,IF(Consumo_Sa="x",4,IF(Microcréd_Sa="x",5)))))</f>
        <v>0.1895</v>
      </c>
      <c r="D187" s="4">
        <f t="shared" si="21"/>
        <v>0.021066743264638976</v>
      </c>
      <c r="E187" s="53">
        <f t="shared" si="22"/>
        <v>0.021066743264638976</v>
      </c>
      <c r="F187" s="20"/>
      <c r="G187" s="19">
        <f t="shared" si="24"/>
        <v>15658137</v>
      </c>
      <c r="H187" s="104">
        <f t="shared" si="18"/>
      </c>
      <c r="I187" s="15">
        <f t="shared" si="19"/>
      </c>
    </row>
    <row r="188" spans="1:9" ht="12.75" hidden="1">
      <c r="A188" s="93">
        <f t="shared" si="23"/>
        <v>47088</v>
      </c>
      <c r="B188" s="93">
        <f t="shared" si="20"/>
        <v>47118</v>
      </c>
      <c r="C188" s="87">
        <f>VLOOKUP(A188,'intereses desde el 71'!$A:$XFD,IF(A188&lt;Nuevo_Int_Sa,3,IF(Comercial_Sa="x",3,IF(Consumo_Sa="x",4,IF(Microcréd_Sa="x",5)))))</f>
        <v>0.1895</v>
      </c>
      <c r="D188" s="4">
        <f t="shared" si="21"/>
        <v>0.021066743264638976</v>
      </c>
      <c r="E188" s="53">
        <f t="shared" si="22"/>
        <v>0.021066743264638976</v>
      </c>
      <c r="F188" s="20"/>
      <c r="G188" s="19">
        <f t="shared" si="24"/>
        <v>15658137</v>
      </c>
      <c r="H188" s="104">
        <f t="shared" si="18"/>
      </c>
      <c r="I188" s="15">
        <f t="shared" si="19"/>
      </c>
    </row>
    <row r="189" spans="1:9" ht="12.75" hidden="1">
      <c r="A189" s="93">
        <f t="shared" si="23"/>
        <v>47119</v>
      </c>
      <c r="B189" s="93">
        <f t="shared" si="20"/>
        <v>47149</v>
      </c>
      <c r="C189" s="87">
        <f>VLOOKUP(A189,'intereses desde el 71'!$A:$XFD,IF(A189&lt;Nuevo_Int_Sa,3,IF(Comercial_Sa="x",3,IF(Consumo_Sa="x",4,IF(Microcréd_Sa="x",5)))))</f>
        <v>0.1895</v>
      </c>
      <c r="D189" s="4">
        <f t="shared" si="21"/>
        <v>0.021066743264638976</v>
      </c>
      <c r="E189" s="53">
        <f t="shared" si="22"/>
        <v>0.021066743264638976</v>
      </c>
      <c r="F189" s="20"/>
      <c r="G189" s="19">
        <f t="shared" si="24"/>
        <v>15658137</v>
      </c>
      <c r="H189" s="104">
        <f t="shared" si="18"/>
      </c>
      <c r="I189" s="15">
        <f t="shared" si="19"/>
      </c>
    </row>
    <row r="190" spans="1:9" ht="12.75" hidden="1">
      <c r="A190" s="93">
        <f t="shared" si="23"/>
        <v>47150</v>
      </c>
      <c r="B190" s="93">
        <f t="shared" si="20"/>
        <v>47177</v>
      </c>
      <c r="C190" s="87">
        <f>VLOOKUP(A190,'intereses desde el 71'!$A:$XFD,IF(A190&lt;Nuevo_Int_Sa,3,IF(Comercial_Sa="x",3,IF(Consumo_Sa="x",4,IF(Microcréd_Sa="x",5)))))</f>
        <v>0.1895</v>
      </c>
      <c r="D190" s="4">
        <f t="shared" si="21"/>
        <v>0.021066743264638976</v>
      </c>
      <c r="E190" s="53">
        <f t="shared" si="22"/>
        <v>0.021066743264638976</v>
      </c>
      <c r="F190" s="20"/>
      <c r="G190" s="19">
        <f t="shared" si="24"/>
        <v>15658137</v>
      </c>
      <c r="H190" s="104">
        <f t="shared" si="18"/>
      </c>
      <c r="I190" s="15">
        <f t="shared" si="19"/>
      </c>
    </row>
    <row r="191" spans="1:9" ht="12.75" hidden="1">
      <c r="A191" s="93">
        <f t="shared" si="23"/>
        <v>47178</v>
      </c>
      <c r="B191" s="93">
        <f t="shared" si="20"/>
        <v>47208</v>
      </c>
      <c r="C191" s="87">
        <f>VLOOKUP(A191,'intereses desde el 71'!$A:$XFD,IF(A191&lt;Nuevo_Int_Sa,3,IF(Comercial_Sa="x",3,IF(Consumo_Sa="x",4,IF(Microcréd_Sa="x",5)))))</f>
        <v>0.1895</v>
      </c>
      <c r="D191" s="4">
        <f t="shared" si="21"/>
        <v>0.021066743264638976</v>
      </c>
      <c r="E191" s="53">
        <f t="shared" si="22"/>
        <v>0.021066743264638976</v>
      </c>
      <c r="F191" s="20"/>
      <c r="G191" s="19">
        <f t="shared" si="24"/>
        <v>15658137</v>
      </c>
      <c r="H191" s="104">
        <f t="shared" si="18"/>
      </c>
      <c r="I191" s="15">
        <f t="shared" si="19"/>
      </c>
    </row>
    <row r="192" spans="1:9" ht="12.75" hidden="1">
      <c r="A192" s="93">
        <f t="shared" si="23"/>
        <v>47209</v>
      </c>
      <c r="B192" s="93">
        <f t="shared" si="20"/>
        <v>47238</v>
      </c>
      <c r="C192" s="87">
        <f>VLOOKUP(A192,'intereses desde el 71'!$A:$XFD,IF(A192&lt;Nuevo_Int_Sa,3,IF(Comercial_Sa="x",3,IF(Consumo_Sa="x",4,IF(Microcréd_Sa="x",5)))))</f>
        <v>0.1895</v>
      </c>
      <c r="D192" s="4">
        <f t="shared" si="21"/>
        <v>0.021066743264638976</v>
      </c>
      <c r="E192" s="53">
        <f t="shared" si="22"/>
        <v>0.021066743264638976</v>
      </c>
      <c r="F192" s="20"/>
      <c r="G192" s="19">
        <f t="shared" si="24"/>
        <v>15658137</v>
      </c>
      <c r="H192" s="104">
        <f t="shared" si="18"/>
      </c>
      <c r="I192" s="15">
        <f t="shared" si="19"/>
      </c>
    </row>
    <row r="193" spans="1:9" ht="12.75" hidden="1">
      <c r="A193" s="93">
        <f t="shared" si="23"/>
        <v>47239</v>
      </c>
      <c r="B193" s="93">
        <f t="shared" si="20"/>
        <v>47269</v>
      </c>
      <c r="C193" s="87">
        <f>VLOOKUP(A193,'intereses desde el 71'!$A:$XFD,IF(A193&lt;Nuevo_Int_Sa,3,IF(Comercial_Sa="x",3,IF(Consumo_Sa="x",4,IF(Microcréd_Sa="x",5)))))</f>
        <v>0.1895</v>
      </c>
      <c r="D193" s="4">
        <f t="shared" si="21"/>
        <v>0.021066743264638976</v>
      </c>
      <c r="E193" s="53">
        <f t="shared" si="22"/>
        <v>0.021066743264638976</v>
      </c>
      <c r="F193" s="20"/>
      <c r="G193" s="19">
        <f t="shared" si="24"/>
        <v>15658137</v>
      </c>
      <c r="H193" s="104">
        <f t="shared" si="18"/>
      </c>
      <c r="I193" s="15">
        <f t="shared" si="19"/>
      </c>
    </row>
    <row r="194" spans="1:9" ht="12.75" hidden="1">
      <c r="A194" s="93">
        <f t="shared" si="23"/>
        <v>47270</v>
      </c>
      <c r="B194" s="93">
        <f t="shared" si="20"/>
        <v>47299</v>
      </c>
      <c r="C194" s="87">
        <f>VLOOKUP(A194,'intereses desde el 71'!$A:$XFD,IF(A194&lt;Nuevo_Int_Sa,3,IF(Comercial_Sa="x",3,IF(Consumo_Sa="x",4,IF(Microcréd_Sa="x",5)))))</f>
        <v>0.1895</v>
      </c>
      <c r="D194" s="4">
        <f t="shared" si="21"/>
        <v>0.021066743264638976</v>
      </c>
      <c r="E194" s="53">
        <f t="shared" si="22"/>
        <v>0.021066743264638976</v>
      </c>
      <c r="F194" s="20"/>
      <c r="G194" s="19">
        <f t="shared" si="24"/>
        <v>15658137</v>
      </c>
      <c r="H194" s="104">
        <f t="shared" si="18"/>
      </c>
      <c r="I194" s="15">
        <f t="shared" si="19"/>
      </c>
    </row>
    <row r="195" spans="1:9" ht="12.75" hidden="1">
      <c r="A195" s="93">
        <f t="shared" si="23"/>
        <v>47300</v>
      </c>
      <c r="B195" s="93">
        <f t="shared" si="20"/>
        <v>47330</v>
      </c>
      <c r="C195" s="87">
        <f>VLOOKUP(A195,'intereses desde el 71'!$A:$XFD,IF(A195&lt;Nuevo_Int_Sa,3,IF(Comercial_Sa="x",3,IF(Consumo_Sa="x",4,IF(Microcréd_Sa="x",5)))))</f>
        <v>0.1895</v>
      </c>
      <c r="D195" s="4">
        <f t="shared" si="21"/>
        <v>0.021066743264638976</v>
      </c>
      <c r="E195" s="53">
        <f t="shared" si="22"/>
        <v>0.021066743264638976</v>
      </c>
      <c r="F195" s="20"/>
      <c r="G195" s="19">
        <f t="shared" si="24"/>
        <v>15658137</v>
      </c>
      <c r="H195" s="104">
        <f t="shared" si="18"/>
      </c>
      <c r="I195" s="15">
        <f t="shared" si="19"/>
      </c>
    </row>
    <row r="196" spans="1:9" ht="12.75" hidden="1">
      <c r="A196" s="93">
        <f t="shared" si="23"/>
        <v>47331</v>
      </c>
      <c r="B196" s="93">
        <f t="shared" si="20"/>
        <v>47361</v>
      </c>
      <c r="C196" s="87">
        <f>VLOOKUP(A196,'intereses desde el 71'!$A:$XFD,IF(A196&lt;Nuevo_Int_Sa,3,IF(Comercial_Sa="x",3,IF(Consumo_Sa="x",4,IF(Microcréd_Sa="x",5)))))</f>
        <v>0.1895</v>
      </c>
      <c r="D196" s="4">
        <f t="shared" si="21"/>
        <v>0.021066743264638976</v>
      </c>
      <c r="E196" s="53">
        <f t="shared" si="22"/>
        <v>0.021066743264638976</v>
      </c>
      <c r="F196" s="20"/>
      <c r="G196" s="19">
        <f t="shared" si="24"/>
        <v>15658137</v>
      </c>
      <c r="H196" s="104">
        <f t="shared" si="18"/>
      </c>
      <c r="I196" s="15">
        <f t="shared" si="19"/>
      </c>
    </row>
    <row r="197" spans="1:9" ht="12.75" hidden="1">
      <c r="A197" s="93">
        <f t="shared" si="23"/>
        <v>47362</v>
      </c>
      <c r="B197" s="93">
        <f t="shared" si="20"/>
        <v>47391</v>
      </c>
      <c r="C197" s="87">
        <f>VLOOKUP(A197,'intereses desde el 71'!$A:$XFD,IF(A197&lt;Nuevo_Int_Sa,3,IF(Comercial_Sa="x",3,IF(Consumo_Sa="x",4,IF(Microcréd_Sa="x",5)))))</f>
        <v>0.1895</v>
      </c>
      <c r="D197" s="4">
        <f t="shared" si="21"/>
        <v>0.021066743264638976</v>
      </c>
      <c r="E197" s="53">
        <f t="shared" si="22"/>
        <v>0.021066743264638976</v>
      </c>
      <c r="F197" s="20"/>
      <c r="G197" s="19">
        <f t="shared" si="24"/>
        <v>15658137</v>
      </c>
      <c r="H197" s="104">
        <f t="shared" si="18"/>
      </c>
      <c r="I197" s="15">
        <f t="shared" si="19"/>
      </c>
    </row>
    <row r="198" spans="1:9" ht="12.75" hidden="1">
      <c r="A198" s="93">
        <f t="shared" si="23"/>
        <v>47392</v>
      </c>
      <c r="B198" s="93">
        <f t="shared" si="20"/>
        <v>47422</v>
      </c>
      <c r="C198" s="87">
        <f>VLOOKUP(A198,'intereses desde el 71'!$A:$XFD,IF(A198&lt;Nuevo_Int_Sa,3,IF(Comercial_Sa="x",3,IF(Consumo_Sa="x",4,IF(Microcréd_Sa="x",5)))))</f>
        <v>0.1895</v>
      </c>
      <c r="D198" s="4">
        <f t="shared" si="21"/>
        <v>0.021066743264638976</v>
      </c>
      <c r="E198" s="53">
        <f t="shared" si="22"/>
        <v>0.021066743264638976</v>
      </c>
      <c r="F198" s="20"/>
      <c r="G198" s="19">
        <f t="shared" si="24"/>
        <v>15658137</v>
      </c>
      <c r="H198" s="104">
        <f t="shared" si="18"/>
      </c>
      <c r="I198" s="15">
        <f t="shared" si="19"/>
      </c>
    </row>
    <row r="199" spans="1:9" ht="12.75" hidden="1">
      <c r="A199" s="93">
        <f t="shared" si="23"/>
        <v>47423</v>
      </c>
      <c r="B199" s="93">
        <f t="shared" si="20"/>
        <v>47452</v>
      </c>
      <c r="C199" s="87">
        <f>VLOOKUP(A199,'intereses desde el 71'!$A:$XFD,IF(A199&lt;Nuevo_Int_Sa,3,IF(Comercial_Sa="x",3,IF(Consumo_Sa="x",4,IF(Microcréd_Sa="x",5)))))</f>
        <v>0.1895</v>
      </c>
      <c r="D199" s="4">
        <f t="shared" si="21"/>
        <v>0.021066743264638976</v>
      </c>
      <c r="E199" s="53">
        <f t="shared" si="22"/>
        <v>0.021066743264638976</v>
      </c>
      <c r="F199" s="20"/>
      <c r="G199" s="19">
        <f t="shared" si="24"/>
        <v>15658137</v>
      </c>
      <c r="H199" s="104">
        <f t="shared" si="18"/>
      </c>
      <c r="I199" s="15">
        <f t="shared" si="19"/>
      </c>
    </row>
    <row r="200" spans="1:9" ht="12.75" hidden="1">
      <c r="A200" s="93">
        <f t="shared" si="23"/>
        <v>47453</v>
      </c>
      <c r="B200" s="93">
        <f t="shared" si="20"/>
        <v>47483</v>
      </c>
      <c r="C200" s="87">
        <f>VLOOKUP(A200,'intereses desde el 71'!$A:$XFD,IF(A200&lt;Nuevo_Int_Sa,3,IF(Comercial_Sa="x",3,IF(Consumo_Sa="x",4,IF(Microcréd_Sa="x",5)))))</f>
        <v>0.1895</v>
      </c>
      <c r="D200" s="4">
        <f t="shared" si="21"/>
        <v>0.021066743264638976</v>
      </c>
      <c r="E200" s="53">
        <f t="shared" si="22"/>
        <v>0.021066743264638976</v>
      </c>
      <c r="F200" s="20"/>
      <c r="G200" s="19">
        <f t="shared" si="24"/>
        <v>15658137</v>
      </c>
      <c r="H200" s="104">
        <f t="shared" si="18"/>
      </c>
      <c r="I200" s="15">
        <f t="shared" si="19"/>
      </c>
    </row>
    <row r="201" spans="1:9" ht="12.75" hidden="1">
      <c r="A201" s="93">
        <f t="shared" si="23"/>
        <v>47484</v>
      </c>
      <c r="B201" s="93">
        <f t="shared" si="20"/>
        <v>47514</v>
      </c>
      <c r="C201" s="87">
        <f>VLOOKUP(A201,'intereses desde el 71'!$A:$XFD,IF(A201&lt;Nuevo_Int_Sa,3,IF(Comercial_Sa="x",3,IF(Consumo_Sa="x",4,IF(Microcréd_Sa="x",5)))))</f>
        <v>0.1895</v>
      </c>
      <c r="D201" s="4">
        <f t="shared" si="21"/>
        <v>0.021066743264638976</v>
      </c>
      <c r="E201" s="53">
        <f t="shared" si="22"/>
        <v>0.021066743264638976</v>
      </c>
      <c r="F201" s="20"/>
      <c r="G201" s="19">
        <f t="shared" si="24"/>
        <v>15658137</v>
      </c>
      <c r="H201" s="104">
        <f t="shared" si="18"/>
      </c>
      <c r="I201" s="15">
        <f t="shared" si="19"/>
      </c>
    </row>
    <row r="202" spans="1:9" ht="12.75" hidden="1">
      <c r="A202" s="93">
        <f t="shared" si="23"/>
        <v>47515</v>
      </c>
      <c r="B202" s="93">
        <f t="shared" si="20"/>
        <v>47542</v>
      </c>
      <c r="C202" s="87">
        <f>VLOOKUP(A202,'intereses desde el 71'!$A:$XFD,IF(A202&lt;Nuevo_Int_Sa,3,IF(Comercial_Sa="x",3,IF(Consumo_Sa="x",4,IF(Microcréd_Sa="x",5)))))</f>
        <v>0.1895</v>
      </c>
      <c r="D202" s="4">
        <f t="shared" si="21"/>
        <v>0.021066743264638976</v>
      </c>
      <c r="E202" s="53">
        <f t="shared" si="22"/>
        <v>0.021066743264638976</v>
      </c>
      <c r="F202" s="20"/>
      <c r="G202" s="19">
        <f t="shared" si="24"/>
        <v>15658137</v>
      </c>
      <c r="H202" s="104">
        <f t="shared" si="18"/>
      </c>
      <c r="I202" s="15">
        <f t="shared" si="19"/>
      </c>
    </row>
    <row r="203" spans="1:9" ht="12.75" hidden="1">
      <c r="A203" s="93">
        <f t="shared" si="23"/>
        <v>47543</v>
      </c>
      <c r="B203" s="93">
        <f t="shared" si="20"/>
        <v>47573</v>
      </c>
      <c r="C203" s="87">
        <f>VLOOKUP(A203,'intereses desde el 71'!$A:$XFD,IF(A203&lt;Nuevo_Int_Sa,3,IF(Comercial_Sa="x",3,IF(Consumo_Sa="x",4,IF(Microcréd_Sa="x",5)))))</f>
        <v>0.1895</v>
      </c>
      <c r="D203" s="4">
        <f t="shared" si="21"/>
        <v>0.021066743264638976</v>
      </c>
      <c r="E203" s="53">
        <f t="shared" si="22"/>
        <v>0.021066743264638976</v>
      </c>
      <c r="F203" s="20"/>
      <c r="G203" s="19">
        <f t="shared" si="24"/>
        <v>15658137</v>
      </c>
      <c r="H203" s="104">
        <f t="shared" si="18"/>
      </c>
      <c r="I203" s="15">
        <f t="shared" si="19"/>
      </c>
    </row>
    <row r="204" spans="1:9" ht="12.75" hidden="1">
      <c r="A204" s="93">
        <f t="shared" si="23"/>
        <v>47574</v>
      </c>
      <c r="B204" s="93">
        <f t="shared" si="20"/>
        <v>47603</v>
      </c>
      <c r="C204" s="87">
        <f>VLOOKUP(A204,'intereses desde el 71'!$A:$XFD,IF(A204&lt;Nuevo_Int_Sa,3,IF(Comercial_Sa="x",3,IF(Consumo_Sa="x",4,IF(Microcréd_Sa="x",5)))))</f>
        <v>0.1895</v>
      </c>
      <c r="D204" s="4">
        <f t="shared" si="21"/>
        <v>0.021066743264638976</v>
      </c>
      <c r="E204" s="53">
        <f t="shared" si="22"/>
        <v>0.021066743264638976</v>
      </c>
      <c r="F204" s="20"/>
      <c r="G204" s="19">
        <f t="shared" si="24"/>
        <v>15658137</v>
      </c>
      <c r="H204" s="104">
        <f t="shared" si="18"/>
      </c>
      <c r="I204" s="15">
        <f t="shared" si="19"/>
      </c>
    </row>
    <row r="205" spans="1:9" ht="12.75" hidden="1">
      <c r="A205" s="93">
        <f t="shared" si="23"/>
        <v>47604</v>
      </c>
      <c r="B205" s="93">
        <f t="shared" si="20"/>
        <v>47634</v>
      </c>
      <c r="C205" s="87">
        <f>VLOOKUP(A205,'intereses desde el 71'!$A:$XFD,IF(A205&lt;Nuevo_Int_Sa,3,IF(Comercial_Sa="x",3,IF(Consumo_Sa="x",4,IF(Microcréd_Sa="x",5)))))</f>
        <v>0.1895</v>
      </c>
      <c r="D205" s="4">
        <f t="shared" si="21"/>
        <v>0.021066743264638976</v>
      </c>
      <c r="E205" s="53">
        <f t="shared" si="22"/>
        <v>0.021066743264638976</v>
      </c>
      <c r="F205" s="20"/>
      <c r="G205" s="19">
        <f t="shared" si="24"/>
        <v>15658137</v>
      </c>
      <c r="H205" s="104">
        <f t="shared" si="18"/>
      </c>
      <c r="I205" s="15">
        <f t="shared" si="19"/>
      </c>
    </row>
    <row r="206" spans="1:9" ht="12.75" hidden="1">
      <c r="A206" s="93">
        <f t="shared" si="23"/>
        <v>47635</v>
      </c>
      <c r="B206" s="93">
        <f t="shared" si="20"/>
        <v>47664</v>
      </c>
      <c r="C206" s="87">
        <f>VLOOKUP(A206,'intereses desde el 71'!$A:$XFD,IF(A206&lt;Nuevo_Int_Sa,3,IF(Comercial_Sa="x",3,IF(Consumo_Sa="x",4,IF(Microcréd_Sa="x",5)))))</f>
        <v>0.1895</v>
      </c>
      <c r="D206" s="4">
        <f t="shared" si="21"/>
        <v>0.021066743264638976</v>
      </c>
      <c r="E206" s="53">
        <f t="shared" si="22"/>
        <v>0.021066743264638976</v>
      </c>
      <c r="F206" s="20"/>
      <c r="G206" s="19">
        <f t="shared" si="24"/>
        <v>15658137</v>
      </c>
      <c r="H206" s="104">
        <f t="shared" si="18"/>
      </c>
      <c r="I206" s="15">
        <f t="shared" si="19"/>
      </c>
    </row>
    <row r="207" spans="1:9" ht="12.75" hidden="1">
      <c r="A207" s="93">
        <f t="shared" si="23"/>
        <v>47665</v>
      </c>
      <c r="B207" s="93">
        <f t="shared" si="20"/>
        <v>47695</v>
      </c>
      <c r="C207" s="87">
        <f>VLOOKUP(A207,'intereses desde el 71'!$A:$XFD,IF(A207&lt;Nuevo_Int_Sa,3,IF(Comercial_Sa="x",3,IF(Consumo_Sa="x",4,IF(Microcréd_Sa="x",5)))))</f>
        <v>0.1895</v>
      </c>
      <c r="D207" s="4">
        <f t="shared" si="21"/>
        <v>0.021066743264638976</v>
      </c>
      <c r="E207" s="53">
        <f t="shared" si="22"/>
        <v>0.021066743264638976</v>
      </c>
      <c r="F207" s="20"/>
      <c r="G207" s="19">
        <f t="shared" si="24"/>
        <v>15658137</v>
      </c>
      <c r="H207" s="104">
        <f t="shared" si="18"/>
      </c>
      <c r="I207" s="15">
        <f t="shared" si="19"/>
      </c>
    </row>
    <row r="208" spans="1:9" ht="12.75" hidden="1">
      <c r="A208" s="93">
        <f t="shared" si="23"/>
        <v>47696</v>
      </c>
      <c r="B208" s="93">
        <f t="shared" si="20"/>
        <v>47726</v>
      </c>
      <c r="C208" s="87">
        <f>VLOOKUP(A208,'intereses desde el 71'!$A:$XFD,IF(A208&lt;Nuevo_Int_Sa,3,IF(Comercial_Sa="x",3,IF(Consumo_Sa="x",4,IF(Microcréd_Sa="x",5)))))</f>
        <v>0.1895</v>
      </c>
      <c r="D208" s="4">
        <f t="shared" si="21"/>
        <v>0.021066743264638976</v>
      </c>
      <c r="E208" s="53">
        <f t="shared" si="22"/>
        <v>0.021066743264638976</v>
      </c>
      <c r="F208" s="20"/>
      <c r="G208" s="19">
        <f t="shared" si="24"/>
        <v>15658137</v>
      </c>
      <c r="H208" s="104">
        <f t="shared" si="18"/>
      </c>
      <c r="I208" s="15">
        <f t="shared" si="19"/>
      </c>
    </row>
    <row r="209" spans="1:9" ht="12.75" hidden="1">
      <c r="A209" s="93">
        <f t="shared" si="23"/>
        <v>47727</v>
      </c>
      <c r="B209" s="93">
        <f t="shared" si="20"/>
        <v>47756</v>
      </c>
      <c r="C209" s="87">
        <f>VLOOKUP(A209,'intereses desde el 71'!$A:$XFD,IF(A209&lt;Nuevo_Int_Sa,3,IF(Comercial_Sa="x",3,IF(Consumo_Sa="x",4,IF(Microcréd_Sa="x",5)))))</f>
        <v>0.1895</v>
      </c>
      <c r="D209" s="4">
        <f t="shared" si="21"/>
        <v>0.021066743264638976</v>
      </c>
      <c r="E209" s="53">
        <f t="shared" si="22"/>
        <v>0.021066743264638976</v>
      </c>
      <c r="F209" s="20"/>
      <c r="G209" s="19">
        <f t="shared" si="24"/>
        <v>15658137</v>
      </c>
      <c r="H209" s="104">
        <f t="shared" si="18"/>
      </c>
      <c r="I209" s="15">
        <f t="shared" si="19"/>
      </c>
    </row>
    <row r="210" spans="1:9" ht="12.75" hidden="1">
      <c r="A210" s="93">
        <f t="shared" si="23"/>
        <v>47757</v>
      </c>
      <c r="B210" s="93">
        <f t="shared" si="20"/>
        <v>47787</v>
      </c>
      <c r="C210" s="87">
        <f>VLOOKUP(A210,'intereses desde el 71'!$A:$XFD,IF(A210&lt;Nuevo_Int_Sa,3,IF(Comercial_Sa="x",3,IF(Consumo_Sa="x",4,IF(Microcréd_Sa="x",5)))))</f>
        <v>0.1895</v>
      </c>
      <c r="D210" s="4">
        <f t="shared" si="21"/>
        <v>0.021066743264638976</v>
      </c>
      <c r="E210" s="53">
        <f t="shared" si="22"/>
        <v>0.021066743264638976</v>
      </c>
      <c r="F210" s="20"/>
      <c r="G210" s="19">
        <f t="shared" si="24"/>
        <v>15658137</v>
      </c>
      <c r="H210" s="104">
        <f t="shared" si="18"/>
      </c>
      <c r="I210" s="15">
        <f t="shared" si="19"/>
      </c>
    </row>
    <row r="211" spans="1:9" ht="12.75" hidden="1">
      <c r="A211" s="93">
        <f t="shared" si="23"/>
        <v>47788</v>
      </c>
      <c r="B211" s="93">
        <f t="shared" si="20"/>
        <v>47817</v>
      </c>
      <c r="C211" s="87">
        <f>VLOOKUP(A211,'intereses desde el 71'!$A:$XFD,IF(A211&lt;Nuevo_Int_Sa,3,IF(Comercial_Sa="x",3,IF(Consumo_Sa="x",4,IF(Microcréd_Sa="x",5)))))</f>
        <v>0.1895</v>
      </c>
      <c r="D211" s="4">
        <f t="shared" si="21"/>
        <v>0.021066743264638976</v>
      </c>
      <c r="E211" s="53">
        <f t="shared" si="22"/>
        <v>0.021066743264638976</v>
      </c>
      <c r="F211" s="20"/>
      <c r="G211" s="19">
        <f t="shared" si="24"/>
        <v>15658137</v>
      </c>
      <c r="H211" s="104">
        <f t="shared" si="18"/>
      </c>
      <c r="I211" s="15">
        <f t="shared" si="19"/>
      </c>
    </row>
    <row r="212" spans="1:9" ht="12.75" hidden="1">
      <c r="A212" s="93">
        <f t="shared" si="23"/>
        <v>47818</v>
      </c>
      <c r="B212" s="93">
        <f t="shared" si="20"/>
        <v>47848</v>
      </c>
      <c r="C212" s="87">
        <f>VLOOKUP(A212,'intereses desde el 71'!$A:$XFD,IF(A212&lt;Nuevo_Int_Sa,3,IF(Comercial_Sa="x",3,IF(Consumo_Sa="x",4,IF(Microcréd_Sa="x",5)))))</f>
        <v>0.1895</v>
      </c>
      <c r="D212" s="4">
        <f t="shared" si="21"/>
        <v>0.021066743264638976</v>
      </c>
      <c r="E212" s="53">
        <f t="shared" si="22"/>
        <v>0.021066743264638976</v>
      </c>
      <c r="F212" s="20"/>
      <c r="G212" s="19">
        <f t="shared" si="24"/>
        <v>15658137</v>
      </c>
      <c r="H212" s="104">
        <f t="shared" si="18"/>
      </c>
      <c r="I212" s="15">
        <f t="shared" si="19"/>
      </c>
    </row>
    <row r="213" spans="1:9" ht="12.75" hidden="1">
      <c r="A213" s="93">
        <f>DATE(YEAR(B212),MONTH(B212),DAY(B212)+1)</f>
        <v>47849</v>
      </c>
      <c r="B213" s="93">
        <f t="shared" si="20"/>
        <v>47879</v>
      </c>
      <c r="C213" s="87">
        <f>VLOOKUP(A213,'intereses desde el 71'!$A:$XFD,IF(A213&lt;Nuevo_Int_Sa,3,IF(Comercial_Sa="x",3,IF(Consumo_Sa="x",4,IF(Microcréd_Sa="x",5)))))</f>
        <v>0.1895</v>
      </c>
      <c r="D213" s="4">
        <f t="shared" si="21"/>
        <v>0.021066743264638976</v>
      </c>
      <c r="E213" s="53">
        <f t="shared" si="22"/>
        <v>0.021066743264638976</v>
      </c>
      <c r="F213" s="20"/>
      <c r="G213" s="19">
        <f>IF(A213="","",G212+F213)</f>
        <v>15658137</v>
      </c>
      <c r="H213" s="104">
        <f t="shared" si="18"/>
      </c>
      <c r="I213" s="15">
        <f t="shared" si="19"/>
      </c>
    </row>
    <row r="214" spans="1:9" ht="12.75">
      <c r="A214" s="100"/>
      <c r="B214" s="100"/>
      <c r="D214" s="100"/>
      <c r="E214" s="230" t="s">
        <v>26</v>
      </c>
      <c r="F214" s="231"/>
      <c r="G214" s="21"/>
      <c r="H214" s="105"/>
      <c r="I214" s="15">
        <f>SUM(I19:I213)</f>
        <v>22790303.218486723</v>
      </c>
    </row>
    <row r="215" spans="5:9" ht="12.75">
      <c r="E215" s="57"/>
      <c r="F215" s="7"/>
      <c r="G215" s="21"/>
      <c r="H215" s="7"/>
      <c r="I215" s="16"/>
    </row>
    <row r="216" spans="1:9" ht="12.75">
      <c r="A216" s="8"/>
      <c r="B216" s="8"/>
      <c r="C216" s="88"/>
      <c r="E216" s="56"/>
      <c r="F216" s="238" t="s">
        <v>18</v>
      </c>
      <c r="G216" s="238"/>
      <c r="H216" s="2"/>
      <c r="I216" s="17">
        <f>G213</f>
        <v>15658137</v>
      </c>
    </row>
    <row r="217" spans="1:9" ht="12.75">
      <c r="A217" s="8"/>
      <c r="B217" s="8"/>
      <c r="C217" s="88"/>
      <c r="E217" s="232"/>
      <c r="F217" s="232"/>
      <c r="G217" s="232"/>
      <c r="H217" s="2"/>
      <c r="I217" s="17"/>
    </row>
    <row r="218" spans="5:9" ht="12.75">
      <c r="E218" s="57"/>
      <c r="F218" s="238" t="s">
        <v>19</v>
      </c>
      <c r="G218" s="238"/>
      <c r="H218" s="2"/>
      <c r="I218" s="17">
        <f>+I214</f>
        <v>22790303.218486723</v>
      </c>
    </row>
    <row r="219" spans="4:9" ht="13.5">
      <c r="D219" s="236" t="s">
        <v>20</v>
      </c>
      <c r="E219" s="236"/>
      <c r="F219" s="236"/>
      <c r="G219" s="237"/>
      <c r="H219" s="233">
        <f>SUM(I216:I218)</f>
        <v>38448440.21848673</v>
      </c>
      <c r="I219" s="234"/>
    </row>
    <row r="220" ht="12.75">
      <c r="F220"/>
    </row>
    <row r="221" spans="3:8" ht="78" customHeight="1">
      <c r="C221" s="86"/>
      <c r="D221" s="86"/>
      <c r="E221" s="86"/>
      <c r="F221" s="86"/>
      <c r="G221" s="94"/>
      <c r="H221" s="95"/>
    </row>
    <row r="222" spans="1:9" ht="16.5">
      <c r="A222" s="227"/>
      <c r="B222" s="227"/>
      <c r="C222" s="227"/>
      <c r="D222" s="227"/>
      <c r="E222" s="227"/>
      <c r="F222" s="44"/>
      <c r="G222" s="45"/>
      <c r="H222" s="38"/>
      <c r="I222" s="46"/>
    </row>
    <row r="223" spans="1:9" ht="16.5">
      <c r="A223" s="227"/>
      <c r="B223" s="227"/>
      <c r="C223" s="38"/>
      <c r="D223" s="38"/>
      <c r="E223" s="59"/>
      <c r="F223" s="44"/>
      <c r="G223" s="45"/>
      <c r="H223" s="38"/>
      <c r="I223" s="46"/>
    </row>
    <row r="224" spans="1:9" ht="16.5">
      <c r="A224" s="38"/>
      <c r="B224" s="38"/>
      <c r="C224" s="38"/>
      <c r="D224" s="38"/>
      <c r="E224" s="59"/>
      <c r="F224" s="44"/>
      <c r="G224" s="45"/>
      <c r="H224" s="38"/>
      <c r="I224" s="46"/>
    </row>
  </sheetData>
  <sheetProtection/>
  <mergeCells count="22">
    <mergeCell ref="A9:C9"/>
    <mergeCell ref="A11:C11"/>
    <mergeCell ref="H219:I219"/>
    <mergeCell ref="G16:I16"/>
    <mergeCell ref="A13:E13"/>
    <mergeCell ref="A14:E14"/>
    <mergeCell ref="A16:B16"/>
    <mergeCell ref="D219:G219"/>
    <mergeCell ref="F216:G216"/>
    <mergeCell ref="F218:G218"/>
    <mergeCell ref="A223:B223"/>
    <mergeCell ref="A222:E222"/>
    <mergeCell ref="A10:C10"/>
    <mergeCell ref="A12:C12"/>
    <mergeCell ref="E214:F214"/>
    <mergeCell ref="E217:G217"/>
    <mergeCell ref="A7:C7"/>
    <mergeCell ref="A8:C8"/>
    <mergeCell ref="A5:I5"/>
    <mergeCell ref="A1:I1"/>
    <mergeCell ref="A2:I2"/>
    <mergeCell ref="A3:I3"/>
  </mergeCells>
  <conditionalFormatting sqref="A19:I213">
    <cfRule type="expression" priority="1" dxfId="21" stopIfTrue="1">
      <formula>IF(ROW(A19)&gt;Fila_Fin_Sa,TRUE,FALSE)</formula>
    </cfRule>
    <cfRule type="expression" priority="2" dxfId="19" stopIfTrue="1">
      <formula>IF(ROW(A19)=Fila_Fin_Sa,TRUE,FALSE)</formula>
    </cfRule>
    <cfRule type="expression" priority="3" dxfId="19" stopIfTrue="1">
      <formula>IF(ROW(A19)&lt;Fila_Fin_Sa,TRUE,FALSE)</formula>
    </cfRule>
  </conditionalFormatting>
  <printOptions horizontalCentered="1"/>
  <pageMargins left="1.1811023622047245" right="1.1811023622047245" top="1.3779527559055118" bottom="1.3779527559055118" header="0" footer="0.5905511811023623"/>
  <pageSetup horizontalDpi="600" verticalDpi="600" orientation="portrait" paperSize="5" scale="80" r:id="rId3"/>
  <headerFooter alignWithMargins="0">
    <oddFooter>&amp;C&amp;P</oddFooter>
  </headerFooter>
  <ignoredErrors>
    <ignoredError sqref="D18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8"/>
  <sheetViews>
    <sheetView zoomScalePageLayoutView="0" workbookViewId="0" topLeftCell="A264">
      <selection activeCell="K277" sqref="K277"/>
    </sheetView>
  </sheetViews>
  <sheetFormatPr defaultColWidth="11.421875" defaultRowHeight="12.75"/>
  <cols>
    <col min="1" max="1" width="11.00390625" style="7" bestFit="1" customWidth="1"/>
    <col min="2" max="2" width="11.8515625" style="7" bestFit="1" customWidth="1"/>
    <col min="3" max="3" width="10.28125" style="180" customWidth="1"/>
    <col min="4" max="4" width="10.421875" style="7" customWidth="1"/>
    <col min="5" max="5" width="10.8515625" style="182" customWidth="1"/>
    <col min="6" max="6" width="10.8515625" style="7" customWidth="1"/>
    <col min="7" max="7" width="9.57421875" style="7" customWidth="1"/>
    <col min="8" max="8" width="9.8515625" style="7" customWidth="1"/>
    <col min="9" max="9" width="9.421875" style="7" customWidth="1"/>
    <col min="10" max="16384" width="11.421875" style="7" customWidth="1"/>
  </cols>
  <sheetData>
    <row r="1" spans="1:9" ht="12.75">
      <c r="A1" s="239" t="s">
        <v>42</v>
      </c>
      <c r="B1" s="239"/>
      <c r="C1" s="239"/>
      <c r="D1" s="146">
        <v>0.21</v>
      </c>
      <c r="E1" s="240" t="s">
        <v>43</v>
      </c>
      <c r="F1" s="241"/>
      <c r="G1" s="241"/>
      <c r="H1" s="242"/>
      <c r="I1" s="147">
        <v>0.016011867773387367</v>
      </c>
    </row>
    <row r="2" spans="1:9" ht="12.75">
      <c r="A2" s="145"/>
      <c r="B2" s="145"/>
      <c r="C2" s="148"/>
      <c r="D2" s="81" t="s">
        <v>44</v>
      </c>
      <c r="E2" s="243" t="s">
        <v>45</v>
      </c>
      <c r="F2" s="244"/>
      <c r="G2" s="244"/>
      <c r="H2" s="245"/>
      <c r="I2" s="81" t="s">
        <v>46</v>
      </c>
    </row>
    <row r="3" spans="1:9" ht="12.75">
      <c r="A3" s="149"/>
      <c r="B3" s="150"/>
      <c r="C3" s="148"/>
      <c r="D3" s="81"/>
      <c r="E3" s="151"/>
      <c r="F3" s="243" t="s">
        <v>47</v>
      </c>
      <c r="G3" s="245"/>
      <c r="H3" s="81"/>
      <c r="I3" s="81"/>
    </row>
    <row r="4" spans="1:9" ht="12.75">
      <c r="A4" s="246" t="s">
        <v>48</v>
      </c>
      <c r="B4" s="246"/>
      <c r="C4" s="246"/>
      <c r="D4" s="246"/>
      <c r="E4" s="246"/>
      <c r="F4" s="153"/>
      <c r="G4" s="153"/>
      <c r="H4" s="247" t="s">
        <v>49</v>
      </c>
      <c r="I4" s="247"/>
    </row>
    <row r="5" spans="1:9" ht="12.75" customHeight="1">
      <c r="A5" s="246"/>
      <c r="B5" s="246"/>
      <c r="C5" s="246"/>
      <c r="D5" s="246"/>
      <c r="E5" s="246"/>
      <c r="F5" s="152"/>
      <c r="G5" s="152"/>
      <c r="H5" s="152"/>
      <c r="I5" s="152"/>
    </row>
    <row r="6" spans="1:9" ht="12.75">
      <c r="A6" s="152"/>
      <c r="B6" s="154">
        <v>12</v>
      </c>
      <c r="C6" s="155"/>
      <c r="D6" s="156"/>
      <c r="E6" s="157"/>
      <c r="F6" s="156"/>
      <c r="G6" s="156"/>
      <c r="H6" s="156"/>
      <c r="I6" s="156"/>
    </row>
    <row r="7" spans="1:9" ht="12.75" customHeight="1">
      <c r="A7" s="158" t="s">
        <v>50</v>
      </c>
      <c r="B7" s="159" t="s">
        <v>51</v>
      </c>
      <c r="C7" s="160" t="s">
        <v>52</v>
      </c>
      <c r="D7" s="248" t="s">
        <v>53</v>
      </c>
      <c r="E7" s="249"/>
      <c r="F7" s="250" t="s">
        <v>54</v>
      </c>
      <c r="G7" s="251"/>
      <c r="H7" s="251"/>
      <c r="I7" s="252"/>
    </row>
    <row r="8" spans="1:9" ht="12.75">
      <c r="A8" s="149"/>
      <c r="B8" s="150"/>
      <c r="C8" s="148"/>
      <c r="D8" s="81"/>
      <c r="E8" s="161"/>
      <c r="F8" s="253"/>
      <c r="G8" s="254"/>
      <c r="H8" s="254"/>
      <c r="I8" s="255"/>
    </row>
    <row r="9" spans="1:9" ht="12.75">
      <c r="A9" s="256" t="s">
        <v>55</v>
      </c>
      <c r="B9" s="257"/>
      <c r="C9" s="257"/>
      <c r="D9" s="257"/>
      <c r="E9" s="257"/>
      <c r="F9" s="257"/>
      <c r="G9" s="257"/>
      <c r="H9" s="257"/>
      <c r="I9" s="258"/>
    </row>
    <row r="10" spans="1:9" ht="12.75">
      <c r="A10" s="259"/>
      <c r="B10" s="260"/>
      <c r="C10" s="260"/>
      <c r="D10" s="260"/>
      <c r="E10" s="260"/>
      <c r="F10" s="260"/>
      <c r="G10" s="260"/>
      <c r="H10" s="260"/>
      <c r="I10" s="261"/>
    </row>
    <row r="11" spans="1:9" ht="12.75">
      <c r="A11" s="262" t="s">
        <v>56</v>
      </c>
      <c r="B11" s="263"/>
      <c r="C11" s="263"/>
      <c r="D11" s="263"/>
      <c r="E11" s="263"/>
      <c r="F11" s="263"/>
      <c r="G11" s="263"/>
      <c r="H11" s="263"/>
      <c r="I11" s="264"/>
    </row>
    <row r="12" spans="1:9" ht="12.75">
      <c r="A12" s="265" t="s">
        <v>57</v>
      </c>
      <c r="B12" s="266"/>
      <c r="C12" s="266"/>
      <c r="D12" s="266"/>
      <c r="E12" s="266"/>
      <c r="F12" s="266"/>
      <c r="G12" s="266"/>
      <c r="H12" s="266"/>
      <c r="I12" s="267"/>
    </row>
    <row r="13" spans="1:9" ht="12.75">
      <c r="A13" s="149"/>
      <c r="B13" s="150"/>
      <c r="C13" s="148"/>
      <c r="D13" s="81"/>
      <c r="E13" s="162"/>
      <c r="F13" s="163"/>
      <c r="G13" s="163"/>
      <c r="H13" s="163"/>
      <c r="I13" s="144"/>
    </row>
    <row r="14" spans="1:9" ht="12.75">
      <c r="A14" s="268" t="s">
        <v>58</v>
      </c>
      <c r="B14" s="268"/>
      <c r="C14" s="164" t="s">
        <v>59</v>
      </c>
      <c r="D14" s="269" t="s">
        <v>60</v>
      </c>
      <c r="E14" s="270"/>
      <c r="F14" s="270"/>
      <c r="G14" s="270"/>
      <c r="H14" s="271"/>
      <c r="I14" s="165"/>
    </row>
    <row r="15" spans="1:9" s="171" customFormat="1" ht="26.25">
      <c r="A15" s="166" t="s">
        <v>61</v>
      </c>
      <c r="B15" s="166" t="s">
        <v>62</v>
      </c>
      <c r="C15" s="167" t="s">
        <v>63</v>
      </c>
      <c r="D15" s="143" t="s">
        <v>64</v>
      </c>
      <c r="E15" s="168" t="s">
        <v>46</v>
      </c>
      <c r="F15" s="127" t="s">
        <v>65</v>
      </c>
      <c r="G15" s="169" t="s">
        <v>66</v>
      </c>
      <c r="H15" s="169" t="s">
        <v>67</v>
      </c>
      <c r="I15" s="170"/>
    </row>
    <row r="16" spans="1:9" ht="12.75">
      <c r="A16" s="172"/>
      <c r="B16" s="123"/>
      <c r="C16" s="88"/>
      <c r="D16" s="4">
        <f>IF(C16="","",C16*1.5)</f>
      </c>
      <c r="E16" s="173">
        <f>IF(D16="","",POWER((1+D16),(1/12))-1)</f>
      </c>
      <c r="F16" s="5"/>
      <c r="G16" s="5"/>
      <c r="H16" s="5"/>
      <c r="I16" s="174"/>
    </row>
    <row r="17" spans="1:9" ht="12.75">
      <c r="A17" s="8">
        <v>26235</v>
      </c>
      <c r="B17" s="8">
        <v>27099</v>
      </c>
      <c r="C17" s="88">
        <v>0.14</v>
      </c>
      <c r="D17" s="4">
        <f aca="true" t="shared" si="0" ref="D17:D80">IF(C17="","",C17*1.5)</f>
        <v>0.21000000000000002</v>
      </c>
      <c r="E17" s="173">
        <f>IF(D17="","",POWER((1+D17),(1/12))-1)</f>
        <v>0.016011867773387367</v>
      </c>
      <c r="F17" s="53">
        <f>IF(D17="","",POWER((1+D17),(1/6))-1)</f>
        <v>0.03228011545636722</v>
      </c>
      <c r="G17" s="53">
        <f>IF(D17="","",POWER((1+D17),(1/4))-1)</f>
        <v>0.04880884817015163</v>
      </c>
      <c r="H17" s="53">
        <f>IF(D17="","",POWER((1+D17),(1/2))-1)</f>
        <v>0.10000000000000009</v>
      </c>
      <c r="I17" s="174"/>
    </row>
    <row r="18" spans="1:9" ht="12.75">
      <c r="A18" s="8">
        <v>27100</v>
      </c>
      <c r="B18" s="8">
        <v>27933</v>
      </c>
      <c r="C18" s="88">
        <v>0.16</v>
      </c>
      <c r="D18" s="4">
        <f t="shared" si="0"/>
        <v>0.24</v>
      </c>
      <c r="E18" s="173">
        <f aca="true" t="shared" si="1" ref="E18:E27">IF(D18="","",POWER((1+D18),(1/12))-1)</f>
        <v>0.018087582483510722</v>
      </c>
      <c r="F18" s="53">
        <f aca="true" t="shared" si="2" ref="F18:F81">IF(D18="","",POWER((1+D18),(1/6))-1)</f>
        <v>0.03650232560711908</v>
      </c>
      <c r="G18" s="53">
        <f aca="true" t="shared" si="3" ref="G18:G81">IF(D18="","",POWER((1+D18),(1/4))-1)</f>
        <v>0.05525014691588859</v>
      </c>
      <c r="H18" s="53">
        <f aca="true" t="shared" si="4" ref="H18:H81">IF(D18="","",POWER((1+D18),(1/2))-1)</f>
        <v>0.11355287256600444</v>
      </c>
      <c r="I18" s="174"/>
    </row>
    <row r="19" spans="1:9" ht="12.75">
      <c r="A19" s="8">
        <v>27934</v>
      </c>
      <c r="B19" s="8">
        <v>29617</v>
      </c>
      <c r="C19" s="88">
        <v>0.18</v>
      </c>
      <c r="D19" s="4">
        <f t="shared" si="0"/>
        <v>0.27</v>
      </c>
      <c r="E19" s="173">
        <f t="shared" si="1"/>
        <v>0.02011776349552319</v>
      </c>
      <c r="F19" s="53">
        <f t="shared" si="2"/>
        <v>0.04064025139910843</v>
      </c>
      <c r="G19" s="53">
        <f t="shared" si="3"/>
        <v>0.06157560586067756</v>
      </c>
      <c r="H19" s="53">
        <f t="shared" si="4"/>
        <v>0.1269427669584644</v>
      </c>
      <c r="I19" s="174"/>
    </row>
    <row r="20" spans="1:9" ht="12.75">
      <c r="A20" s="8">
        <v>29618</v>
      </c>
      <c r="B20" s="8">
        <v>30970</v>
      </c>
      <c r="C20" s="88">
        <v>0.18</v>
      </c>
      <c r="D20" s="4">
        <f t="shared" si="0"/>
        <v>0.27</v>
      </c>
      <c r="E20" s="173">
        <f t="shared" si="1"/>
        <v>0.02011776349552319</v>
      </c>
      <c r="F20" s="53">
        <f t="shared" si="2"/>
        <v>0.04064025139910843</v>
      </c>
      <c r="G20" s="53">
        <f t="shared" si="3"/>
        <v>0.06157560586067756</v>
      </c>
      <c r="H20" s="53">
        <f t="shared" si="4"/>
        <v>0.1269427669584644</v>
      </c>
      <c r="I20" s="174"/>
    </row>
    <row r="21" spans="1:9" ht="12.75">
      <c r="A21" s="8">
        <v>30971</v>
      </c>
      <c r="B21" s="8">
        <v>31496</v>
      </c>
      <c r="C21" s="88">
        <v>0.336</v>
      </c>
      <c r="D21" s="4">
        <f t="shared" si="0"/>
        <v>0.504</v>
      </c>
      <c r="E21" s="173">
        <f t="shared" si="1"/>
        <v>0.03459566180027318</v>
      </c>
      <c r="F21" s="53">
        <f t="shared" si="2"/>
        <v>0.07038818341594544</v>
      </c>
      <c r="G21" s="53">
        <f t="shared" si="3"/>
        <v>0.10741897100441222</v>
      </c>
      <c r="H21" s="53">
        <f t="shared" si="4"/>
        <v>0.22637677734047124</v>
      </c>
      <c r="I21" s="174"/>
    </row>
    <row r="22" spans="1:9" ht="12.75">
      <c r="A22" s="8">
        <v>31497</v>
      </c>
      <c r="B22" s="8">
        <v>31922</v>
      </c>
      <c r="C22" s="88">
        <v>0.3381</v>
      </c>
      <c r="D22" s="4">
        <f t="shared" si="0"/>
        <v>0.50715</v>
      </c>
      <c r="E22" s="173">
        <f t="shared" si="1"/>
        <v>0.034776061406443626</v>
      </c>
      <c r="F22" s="53">
        <f t="shared" si="2"/>
        <v>0.07076149725983183</v>
      </c>
      <c r="G22" s="53">
        <f t="shared" si="3"/>
        <v>0.10799836484019543</v>
      </c>
      <c r="H22" s="53">
        <f t="shared" si="4"/>
        <v>0.22766037648854653</v>
      </c>
      <c r="I22" s="174"/>
    </row>
    <row r="23" spans="1:9" ht="12.75">
      <c r="A23" s="8">
        <v>31923</v>
      </c>
      <c r="B23" s="8">
        <v>32282</v>
      </c>
      <c r="C23" s="88">
        <v>0.3252</v>
      </c>
      <c r="D23" s="4">
        <f t="shared" si="0"/>
        <v>0.4878</v>
      </c>
      <c r="E23" s="173">
        <f t="shared" si="1"/>
        <v>0.03366238569099478</v>
      </c>
      <c r="F23" s="53">
        <f t="shared" si="2"/>
        <v>0.06845792759239888</v>
      </c>
      <c r="G23" s="53">
        <f t="shared" si="3"/>
        <v>0.10442477044561516</v>
      </c>
      <c r="H23" s="53">
        <f t="shared" si="4"/>
        <v>0.21975407357384946</v>
      </c>
      <c r="I23" s="174"/>
    </row>
    <row r="24" spans="1:9" ht="12.75">
      <c r="A24" s="8">
        <v>32283</v>
      </c>
      <c r="B24" s="8">
        <v>32630</v>
      </c>
      <c r="C24" s="88">
        <v>0.3404</v>
      </c>
      <c r="D24" s="4">
        <f t="shared" si="0"/>
        <v>0.5105999999999999</v>
      </c>
      <c r="E24" s="173">
        <f t="shared" si="1"/>
        <v>0.03497324579324235</v>
      </c>
      <c r="F24" s="53">
        <f t="shared" si="2"/>
        <v>0.07116961950779932</v>
      </c>
      <c r="G24" s="53">
        <f t="shared" si="3"/>
        <v>0.1086318978970997</v>
      </c>
      <c r="H24" s="53">
        <f t="shared" si="4"/>
        <v>0.22906468503492516</v>
      </c>
      <c r="I24" s="174"/>
    </row>
    <row r="25" spans="1:9" ht="12.75">
      <c r="A25" s="8">
        <v>32631</v>
      </c>
      <c r="B25" s="8">
        <v>33017</v>
      </c>
      <c r="C25" s="88">
        <v>0.3615</v>
      </c>
      <c r="D25" s="4">
        <f t="shared" si="0"/>
        <v>0.54225</v>
      </c>
      <c r="E25" s="173">
        <f t="shared" si="1"/>
        <v>0.036763179541388524</v>
      </c>
      <c r="F25" s="53">
        <f t="shared" si="2"/>
        <v>0.07487789045276938</v>
      </c>
      <c r="G25" s="53">
        <f t="shared" si="3"/>
        <v>0.1143938193245535</v>
      </c>
      <c r="H25" s="53">
        <f t="shared" si="4"/>
        <v>0.24187358454876562</v>
      </c>
      <c r="I25" s="174"/>
    </row>
    <row r="26" spans="1:9" ht="12.75">
      <c r="A26" s="8">
        <v>33018</v>
      </c>
      <c r="B26" s="8">
        <v>33297</v>
      </c>
      <c r="C26" s="88">
        <v>0.3427</v>
      </c>
      <c r="D26" s="4">
        <f t="shared" si="0"/>
        <v>0.51405</v>
      </c>
      <c r="E26" s="173">
        <f t="shared" si="1"/>
        <v>0.03517001779813578</v>
      </c>
      <c r="F26" s="53">
        <f t="shared" si="2"/>
        <v>0.07157696574819261</v>
      </c>
      <c r="G26" s="53">
        <f t="shared" si="3"/>
        <v>0.10926434670562868</v>
      </c>
      <c r="H26" s="53">
        <f t="shared" si="4"/>
        <v>0.2304673908722652</v>
      </c>
      <c r="I26" s="174"/>
    </row>
    <row r="27" spans="1:9" ht="12.75">
      <c r="A27" s="8">
        <v>33298</v>
      </c>
      <c r="B27" s="8">
        <v>33661</v>
      </c>
      <c r="C27" s="88">
        <v>0.3641</v>
      </c>
      <c r="D27" s="4">
        <f t="shared" si="0"/>
        <v>0.5461499999999999</v>
      </c>
      <c r="E27" s="173">
        <f t="shared" si="1"/>
        <v>0.036981404947979746</v>
      </c>
      <c r="F27" s="53">
        <f t="shared" si="2"/>
        <v>0.07533043420788577</v>
      </c>
      <c r="G27" s="53">
        <f t="shared" si="3"/>
        <v>0.11509766444821423</v>
      </c>
      <c r="H27" s="53">
        <f t="shared" si="4"/>
        <v>0.24344280125786244</v>
      </c>
      <c r="I27" s="174"/>
    </row>
    <row r="28" spans="1:9" ht="12.75">
      <c r="A28" s="8">
        <v>33662</v>
      </c>
      <c r="B28" s="8">
        <v>33723</v>
      </c>
      <c r="C28" s="88">
        <v>0.4241</v>
      </c>
      <c r="D28" s="4">
        <f t="shared" si="0"/>
        <v>0.63615</v>
      </c>
      <c r="E28" s="173">
        <f>IF(D28="","",POWER((1+D28),(1/12))-1)</f>
        <v>0.041882139190207335</v>
      </c>
      <c r="F28" s="53">
        <f t="shared" si="2"/>
        <v>0.08551839196356248</v>
      </c>
      <c r="G28" s="53">
        <f t="shared" si="3"/>
        <v>0.13098222434931017</v>
      </c>
      <c r="H28" s="53">
        <f t="shared" si="4"/>
        <v>0.27912079179411364</v>
      </c>
      <c r="I28" s="174"/>
    </row>
    <row r="29" spans="1:9" ht="12.75">
      <c r="A29" s="8">
        <v>33724</v>
      </c>
      <c r="B29" s="8">
        <v>33785</v>
      </c>
      <c r="C29" s="88">
        <v>0.3847</v>
      </c>
      <c r="D29" s="4">
        <f t="shared" si="0"/>
        <v>0.57705</v>
      </c>
      <c r="E29" s="173">
        <f>IF(D29="","",POWER((1+D29),(1/12))-1)</f>
        <v>0.03869280168066447</v>
      </c>
      <c r="F29" s="53">
        <f t="shared" si="2"/>
        <v>0.07888273626322806</v>
      </c>
      <c r="G29" s="53">
        <f t="shared" si="3"/>
        <v>0.12062773201415355</v>
      </c>
      <c r="H29" s="53">
        <f t="shared" si="4"/>
        <v>0.2558065137591856</v>
      </c>
      <c r="I29" s="174"/>
    </row>
    <row r="30" spans="1:9" ht="12.75">
      <c r="A30" s="8">
        <v>33786</v>
      </c>
      <c r="B30" s="8">
        <v>33816</v>
      </c>
      <c r="C30" s="88">
        <v>0.3818</v>
      </c>
      <c r="D30" s="4">
        <f t="shared" si="0"/>
        <v>0.5727</v>
      </c>
      <c r="E30" s="173">
        <f aca="true" t="shared" si="5" ref="E30:E93">IF(D30="","",POWER((1+D30),(1/12))-1)</f>
        <v>0.038453745851193766</v>
      </c>
      <c r="F30" s="53">
        <f t="shared" si="2"/>
        <v>0.07838618227237593</v>
      </c>
      <c r="G30" s="53">
        <f t="shared" si="3"/>
        <v>0.11985417045491698</v>
      </c>
      <c r="H30" s="53">
        <f t="shared" si="4"/>
        <v>0.2540733630852703</v>
      </c>
      <c r="I30" s="174"/>
    </row>
    <row r="31" spans="1:9" ht="12.75">
      <c r="A31" s="8">
        <v>33817</v>
      </c>
      <c r="B31" s="8">
        <v>33847</v>
      </c>
      <c r="C31" s="88">
        <v>0.3818</v>
      </c>
      <c r="D31" s="4">
        <f t="shared" si="0"/>
        <v>0.5727</v>
      </c>
      <c r="E31" s="173">
        <f t="shared" si="5"/>
        <v>0.038453745851193766</v>
      </c>
      <c r="F31" s="53">
        <f t="shared" si="2"/>
        <v>0.07838618227237593</v>
      </c>
      <c r="G31" s="53">
        <f t="shared" si="3"/>
        <v>0.11985417045491698</v>
      </c>
      <c r="H31" s="53">
        <f t="shared" si="4"/>
        <v>0.2540733630852703</v>
      </c>
      <c r="I31" s="174"/>
    </row>
    <row r="32" spans="1:9" ht="12.75">
      <c r="A32" s="8">
        <v>33848</v>
      </c>
      <c r="B32" s="8">
        <v>33877</v>
      </c>
      <c r="C32" s="88">
        <v>0.3433</v>
      </c>
      <c r="D32" s="4">
        <f t="shared" si="0"/>
        <v>0.51495</v>
      </c>
      <c r="E32" s="173">
        <f t="shared" si="5"/>
        <v>0.03522128202792274</v>
      </c>
      <c r="F32" s="53">
        <f t="shared" si="2"/>
        <v>0.07168310276353584</v>
      </c>
      <c r="G32" s="53">
        <f t="shared" si="3"/>
        <v>0.10942915557052957</v>
      </c>
      <c r="H32" s="53">
        <f t="shared" si="4"/>
        <v>0.23083305122993836</v>
      </c>
      <c r="I32" s="174"/>
    </row>
    <row r="33" spans="1:9" ht="12.75">
      <c r="A33" s="8">
        <v>33878</v>
      </c>
      <c r="B33" s="8">
        <v>33908</v>
      </c>
      <c r="C33" s="88">
        <v>0.3433</v>
      </c>
      <c r="D33" s="4">
        <f t="shared" si="0"/>
        <v>0.51495</v>
      </c>
      <c r="E33" s="173">
        <f t="shared" si="5"/>
        <v>0.03522128202792274</v>
      </c>
      <c r="F33" s="53">
        <f t="shared" si="2"/>
        <v>0.07168310276353584</v>
      </c>
      <c r="G33" s="53">
        <f t="shared" si="3"/>
        <v>0.10942915557052957</v>
      </c>
      <c r="H33" s="53">
        <f t="shared" si="4"/>
        <v>0.23083305122993836</v>
      </c>
      <c r="I33" s="174"/>
    </row>
    <row r="34" spans="1:9" ht="12.75">
      <c r="A34" s="8">
        <v>33909</v>
      </c>
      <c r="B34" s="8">
        <v>33938</v>
      </c>
      <c r="C34" s="88">
        <v>0.3215</v>
      </c>
      <c r="D34" s="4">
        <f t="shared" si="0"/>
        <v>0.48225</v>
      </c>
      <c r="E34" s="173">
        <f t="shared" si="5"/>
        <v>0.03334050897383922</v>
      </c>
      <c r="F34" s="53">
        <f t="shared" si="2"/>
        <v>0.06779260748631288</v>
      </c>
      <c r="G34" s="53">
        <f t="shared" si="3"/>
        <v>0.10339335649840953</v>
      </c>
      <c r="H34" s="53">
        <f t="shared" si="4"/>
        <v>0.21747689916482615</v>
      </c>
      <c r="I34" s="174"/>
    </row>
    <row r="35" spans="1:9" ht="12.75">
      <c r="A35" s="8">
        <v>33939</v>
      </c>
      <c r="B35" s="8">
        <v>33969</v>
      </c>
      <c r="C35" s="88">
        <v>0.3215</v>
      </c>
      <c r="D35" s="4">
        <f t="shared" si="0"/>
        <v>0.48225</v>
      </c>
      <c r="E35" s="173">
        <f t="shared" si="5"/>
        <v>0.03334050897383922</v>
      </c>
      <c r="F35" s="53">
        <f t="shared" si="2"/>
        <v>0.06779260748631288</v>
      </c>
      <c r="G35" s="53">
        <f t="shared" si="3"/>
        <v>0.10339335649840953</v>
      </c>
      <c r="H35" s="53">
        <f t="shared" si="4"/>
        <v>0.21747689916482615</v>
      </c>
      <c r="I35" s="174"/>
    </row>
    <row r="36" spans="1:9" ht="12.75">
      <c r="A36" s="8">
        <v>33970</v>
      </c>
      <c r="B36" s="8">
        <v>34000</v>
      </c>
      <c r="C36" s="88">
        <v>0.3439</v>
      </c>
      <c r="D36" s="4">
        <f t="shared" si="0"/>
        <v>0.5158499999999999</v>
      </c>
      <c r="E36" s="173">
        <f t="shared" si="5"/>
        <v>0.035272518348221205</v>
      </c>
      <c r="F36" s="53">
        <f t="shared" si="2"/>
        <v>0.07178918724706818</v>
      </c>
      <c r="G36" s="53">
        <f t="shared" si="3"/>
        <v>0.10959389101966543</v>
      </c>
      <c r="H36" s="53">
        <f t="shared" si="4"/>
        <v>0.2311986029881612</v>
      </c>
      <c r="I36" s="174"/>
    </row>
    <row r="37" spans="1:9" ht="12.75">
      <c r="A37" s="8">
        <v>34001</v>
      </c>
      <c r="B37" s="8">
        <v>34028</v>
      </c>
      <c r="C37" s="88">
        <v>0.3439</v>
      </c>
      <c r="D37" s="4">
        <f t="shared" si="0"/>
        <v>0.5158499999999999</v>
      </c>
      <c r="E37" s="173">
        <f t="shared" si="5"/>
        <v>0.035272518348221205</v>
      </c>
      <c r="F37" s="53">
        <f t="shared" si="2"/>
        <v>0.07178918724706818</v>
      </c>
      <c r="G37" s="53">
        <f t="shared" si="3"/>
        <v>0.10959389101966543</v>
      </c>
      <c r="H37" s="53">
        <f t="shared" si="4"/>
        <v>0.2311986029881612</v>
      </c>
      <c r="I37" s="174"/>
    </row>
    <row r="38" spans="1:9" ht="12.75">
      <c r="A38" s="8">
        <v>34029</v>
      </c>
      <c r="B38" s="8">
        <v>34059</v>
      </c>
      <c r="C38" s="88">
        <v>0.3474</v>
      </c>
      <c r="D38" s="4">
        <f t="shared" si="0"/>
        <v>0.5211</v>
      </c>
      <c r="E38" s="173">
        <f t="shared" si="5"/>
        <v>0.03557084228062379</v>
      </c>
      <c r="F38" s="53">
        <f t="shared" si="2"/>
        <v>0.07240696938180058</v>
      </c>
      <c r="G38" s="53">
        <f t="shared" si="3"/>
        <v>0.11055338855032226</v>
      </c>
      <c r="H38" s="53">
        <f t="shared" si="4"/>
        <v>0.23332882882060302</v>
      </c>
      <c r="I38" s="174"/>
    </row>
    <row r="39" spans="1:9" ht="12.75">
      <c r="A39" s="8">
        <v>34060</v>
      </c>
      <c r="B39" s="8">
        <v>34089</v>
      </c>
      <c r="C39" s="88">
        <v>0.3474</v>
      </c>
      <c r="D39" s="4">
        <f t="shared" si="0"/>
        <v>0.5211</v>
      </c>
      <c r="E39" s="173">
        <f t="shared" si="5"/>
        <v>0.03557084228062379</v>
      </c>
      <c r="F39" s="53">
        <f t="shared" si="2"/>
        <v>0.07240696938180058</v>
      </c>
      <c r="G39" s="53">
        <f t="shared" si="3"/>
        <v>0.11055338855032226</v>
      </c>
      <c r="H39" s="53">
        <f t="shared" si="4"/>
        <v>0.23332882882060302</v>
      </c>
      <c r="I39" s="174"/>
    </row>
    <row r="40" spans="1:9" ht="12.75">
      <c r="A40" s="8">
        <v>34090</v>
      </c>
      <c r="B40" s="8">
        <v>34120</v>
      </c>
      <c r="C40" s="88">
        <v>0.351</v>
      </c>
      <c r="D40" s="4">
        <f t="shared" si="0"/>
        <v>0.5265</v>
      </c>
      <c r="E40" s="173">
        <f t="shared" si="5"/>
        <v>0.03587670668729914</v>
      </c>
      <c r="F40" s="53">
        <f t="shared" si="2"/>
        <v>0.07304055145732491</v>
      </c>
      <c r="G40" s="53">
        <f t="shared" si="3"/>
        <v>0.11153771258553724</v>
      </c>
      <c r="H40" s="53">
        <f t="shared" si="4"/>
        <v>0.23551608649988842</v>
      </c>
      <c r="I40" s="174"/>
    </row>
    <row r="41" spans="1:9" ht="12.75">
      <c r="A41" s="8">
        <v>34121</v>
      </c>
      <c r="B41" s="8">
        <v>34150</v>
      </c>
      <c r="C41" s="88">
        <v>0.351</v>
      </c>
      <c r="D41" s="4">
        <f t="shared" si="0"/>
        <v>0.5265</v>
      </c>
      <c r="E41" s="173">
        <f t="shared" si="5"/>
        <v>0.03587670668729914</v>
      </c>
      <c r="F41" s="53">
        <f t="shared" si="2"/>
        <v>0.07304055145732491</v>
      </c>
      <c r="G41" s="53">
        <f t="shared" si="3"/>
        <v>0.11153771258553724</v>
      </c>
      <c r="H41" s="53">
        <f t="shared" si="4"/>
        <v>0.23551608649988842</v>
      </c>
      <c r="I41" s="174"/>
    </row>
    <row r="42" spans="1:9" ht="12.75">
      <c r="A42" s="8">
        <v>34151</v>
      </c>
      <c r="B42" s="8">
        <v>34181</v>
      </c>
      <c r="C42" s="88">
        <v>0.3543</v>
      </c>
      <c r="D42" s="4">
        <f t="shared" si="0"/>
        <v>0.53145</v>
      </c>
      <c r="E42" s="173">
        <f t="shared" si="5"/>
        <v>0.036156212343196215</v>
      </c>
      <c r="F42" s="53">
        <f t="shared" si="2"/>
        <v>0.07361969637739851</v>
      </c>
      <c r="G42" s="53">
        <f t="shared" si="3"/>
        <v>0.11243771809545766</v>
      </c>
      <c r="H42" s="53">
        <f t="shared" si="4"/>
        <v>0.23751767664142887</v>
      </c>
      <c r="I42" s="174"/>
    </row>
    <row r="43" spans="1:9" ht="12.75">
      <c r="A43" s="8">
        <v>34182</v>
      </c>
      <c r="B43" s="8">
        <v>34212</v>
      </c>
      <c r="C43" s="88">
        <v>0.3543</v>
      </c>
      <c r="D43" s="4">
        <f t="shared" si="0"/>
        <v>0.53145</v>
      </c>
      <c r="E43" s="173">
        <f t="shared" si="5"/>
        <v>0.036156212343196215</v>
      </c>
      <c r="F43" s="53">
        <f t="shared" si="2"/>
        <v>0.07361969637739851</v>
      </c>
      <c r="G43" s="53">
        <f t="shared" si="3"/>
        <v>0.11243771809545766</v>
      </c>
      <c r="H43" s="53">
        <f t="shared" si="4"/>
        <v>0.23751767664142887</v>
      </c>
      <c r="I43" s="174"/>
    </row>
    <row r="44" spans="1:9" ht="12.75">
      <c r="A44" s="8">
        <v>34213</v>
      </c>
      <c r="B44" s="8">
        <v>34242</v>
      </c>
      <c r="C44" s="88">
        <v>0.3566</v>
      </c>
      <c r="D44" s="4">
        <f t="shared" si="0"/>
        <v>0.5348999999999999</v>
      </c>
      <c r="E44" s="173">
        <f t="shared" si="5"/>
        <v>0.03635052999711741</v>
      </c>
      <c r="F44" s="53">
        <f t="shared" si="2"/>
        <v>0.07402242102530598</v>
      </c>
      <c r="G44" s="53">
        <f t="shared" si="3"/>
        <v>0.11306370525836318</v>
      </c>
      <c r="H44" s="53">
        <f t="shared" si="4"/>
        <v>0.2389108119634762</v>
      </c>
      <c r="I44" s="174"/>
    </row>
    <row r="45" spans="1:9" ht="12.75">
      <c r="A45" s="8">
        <v>34243</v>
      </c>
      <c r="B45" s="8">
        <v>34273</v>
      </c>
      <c r="C45" s="88">
        <v>0.3566</v>
      </c>
      <c r="D45" s="4">
        <f t="shared" si="0"/>
        <v>0.5348999999999999</v>
      </c>
      <c r="E45" s="173">
        <f t="shared" si="5"/>
        <v>0.03635052999711741</v>
      </c>
      <c r="F45" s="53">
        <f t="shared" si="2"/>
        <v>0.07402242102530598</v>
      </c>
      <c r="G45" s="53">
        <f t="shared" si="3"/>
        <v>0.11306370525836318</v>
      </c>
      <c r="H45" s="53">
        <f t="shared" si="4"/>
        <v>0.2389108119634762</v>
      </c>
      <c r="I45" s="174"/>
    </row>
    <row r="46" spans="1:9" ht="12.75">
      <c r="A46" s="8">
        <v>34274</v>
      </c>
      <c r="B46" s="8">
        <v>34303</v>
      </c>
      <c r="C46" s="88">
        <v>0.3587</v>
      </c>
      <c r="D46" s="4">
        <f t="shared" si="0"/>
        <v>0.53805</v>
      </c>
      <c r="E46" s="173">
        <f t="shared" si="5"/>
        <v>0.03652760111727238</v>
      </c>
      <c r="F46" s="53">
        <f t="shared" si="2"/>
        <v>0.07438946787792755</v>
      </c>
      <c r="G46" s="53">
        <f t="shared" si="3"/>
        <v>0.11363433780517096</v>
      </c>
      <c r="H46" s="53">
        <f t="shared" si="4"/>
        <v>0.24018143833876193</v>
      </c>
      <c r="I46" s="174"/>
    </row>
    <row r="47" spans="1:9" ht="12.75">
      <c r="A47" s="8">
        <v>34304</v>
      </c>
      <c r="B47" s="8">
        <v>34334</v>
      </c>
      <c r="C47" s="88">
        <v>0.3587</v>
      </c>
      <c r="D47" s="4">
        <f t="shared" si="0"/>
        <v>0.53805</v>
      </c>
      <c r="E47" s="173">
        <f t="shared" si="5"/>
        <v>0.03652760111727238</v>
      </c>
      <c r="F47" s="53">
        <f t="shared" si="2"/>
        <v>0.07438946787792755</v>
      </c>
      <c r="G47" s="53">
        <f t="shared" si="3"/>
        <v>0.11363433780517096</v>
      </c>
      <c r="H47" s="53">
        <f t="shared" si="4"/>
        <v>0.24018143833876193</v>
      </c>
      <c r="I47" s="174"/>
    </row>
    <row r="48" spans="1:9" ht="12.75">
      <c r="A48" s="8">
        <v>34335</v>
      </c>
      <c r="B48" s="8">
        <v>34365</v>
      </c>
      <c r="C48" s="88">
        <v>0.3502</v>
      </c>
      <c r="D48" s="4">
        <f t="shared" si="0"/>
        <v>0.5253</v>
      </c>
      <c r="E48" s="173">
        <f t="shared" si="5"/>
        <v>0.035808822630829296</v>
      </c>
      <c r="F48" s="53">
        <f t="shared" si="2"/>
        <v>0.07289991703986498</v>
      </c>
      <c r="G48" s="53">
        <f t="shared" si="3"/>
        <v>0.11131919986977712</v>
      </c>
      <c r="H48" s="53">
        <f t="shared" si="4"/>
        <v>0.23503036399920152</v>
      </c>
      <c r="I48" s="174"/>
    </row>
    <row r="49" spans="1:9" ht="12.75">
      <c r="A49" s="8">
        <v>34366</v>
      </c>
      <c r="B49" s="8">
        <v>34393</v>
      </c>
      <c r="C49" s="88">
        <v>0.3502</v>
      </c>
      <c r="D49" s="4">
        <f t="shared" si="0"/>
        <v>0.5253</v>
      </c>
      <c r="E49" s="173">
        <f t="shared" si="5"/>
        <v>0.035808822630829296</v>
      </c>
      <c r="F49" s="53">
        <f t="shared" si="2"/>
        <v>0.07289991703986498</v>
      </c>
      <c r="G49" s="53">
        <f t="shared" si="3"/>
        <v>0.11131919986977712</v>
      </c>
      <c r="H49" s="53">
        <f t="shared" si="4"/>
        <v>0.23503036399920152</v>
      </c>
      <c r="I49" s="174"/>
    </row>
    <row r="50" spans="1:9" ht="12.75">
      <c r="A50" s="8">
        <v>34394</v>
      </c>
      <c r="B50" s="8">
        <v>34424</v>
      </c>
      <c r="C50" s="88">
        <v>0.3542</v>
      </c>
      <c r="D50" s="4">
        <f t="shared" si="0"/>
        <v>0.5313</v>
      </c>
      <c r="E50" s="173">
        <f t="shared" si="5"/>
        <v>0.03614775465007458</v>
      </c>
      <c r="F50" s="53">
        <f t="shared" si="2"/>
        <v>0.07360216946639131</v>
      </c>
      <c r="G50" s="53">
        <f t="shared" si="3"/>
        <v>0.11241047728005027</v>
      </c>
      <c r="H50" s="53">
        <f t="shared" si="4"/>
        <v>0.237457069962429</v>
      </c>
      <c r="I50" s="174"/>
    </row>
    <row r="51" spans="1:9" ht="12.75">
      <c r="A51" s="8">
        <v>34425</v>
      </c>
      <c r="B51" s="8">
        <v>34454</v>
      </c>
      <c r="C51" s="88">
        <v>0.3542</v>
      </c>
      <c r="D51" s="4">
        <f t="shared" si="0"/>
        <v>0.5313</v>
      </c>
      <c r="E51" s="173">
        <f t="shared" si="5"/>
        <v>0.03614775465007458</v>
      </c>
      <c r="F51" s="53">
        <f t="shared" si="2"/>
        <v>0.07360216946639131</v>
      </c>
      <c r="G51" s="53">
        <f t="shared" si="3"/>
        <v>0.11241047728005027</v>
      </c>
      <c r="H51" s="53">
        <f t="shared" si="4"/>
        <v>0.237457069962429</v>
      </c>
      <c r="I51" s="174"/>
    </row>
    <row r="52" spans="1:9" ht="12.75">
      <c r="A52" s="8">
        <v>34455</v>
      </c>
      <c r="B52" s="8">
        <v>34485</v>
      </c>
      <c r="C52" s="88">
        <v>0.3613</v>
      </c>
      <c r="D52" s="4">
        <f t="shared" si="0"/>
        <v>0.54195</v>
      </c>
      <c r="E52" s="173">
        <f t="shared" si="5"/>
        <v>0.03674637202600306</v>
      </c>
      <c r="F52" s="53">
        <f t="shared" si="2"/>
        <v>0.07484303990907981</v>
      </c>
      <c r="G52" s="53">
        <f t="shared" si="3"/>
        <v>0.11433962212313897</v>
      </c>
      <c r="H52" s="53">
        <f t="shared" si="4"/>
        <v>0.24175279343353995</v>
      </c>
      <c r="I52" s="174"/>
    </row>
    <row r="53" spans="1:9" ht="12.75">
      <c r="A53" s="8">
        <v>34486</v>
      </c>
      <c r="B53" s="8">
        <v>34515</v>
      </c>
      <c r="C53" s="88">
        <v>0.3613</v>
      </c>
      <c r="D53" s="4">
        <f t="shared" si="0"/>
        <v>0.54195</v>
      </c>
      <c r="E53" s="173">
        <f t="shared" si="5"/>
        <v>0.03674637202600306</v>
      </c>
      <c r="F53" s="53">
        <f t="shared" si="2"/>
        <v>0.07484303990907981</v>
      </c>
      <c r="G53" s="53">
        <f t="shared" si="3"/>
        <v>0.11433962212313897</v>
      </c>
      <c r="H53" s="53">
        <f t="shared" si="4"/>
        <v>0.24175279343353995</v>
      </c>
      <c r="I53" s="174"/>
    </row>
    <row r="54" spans="1:9" ht="12.75">
      <c r="A54" s="8">
        <v>34516</v>
      </c>
      <c r="B54" s="8">
        <v>34546</v>
      </c>
      <c r="C54" s="88">
        <v>0.3625</v>
      </c>
      <c r="D54" s="4">
        <f t="shared" si="0"/>
        <v>0.54375</v>
      </c>
      <c r="E54" s="173">
        <f t="shared" si="5"/>
        <v>0.03684717219020173</v>
      </c>
      <c r="F54" s="53">
        <f t="shared" si="2"/>
        <v>0.0750520584788179</v>
      </c>
      <c r="G54" s="53">
        <f t="shared" si="3"/>
        <v>0.11466468679101771</v>
      </c>
      <c r="H54" s="53">
        <f t="shared" si="4"/>
        <v>0.24247736397891773</v>
      </c>
      <c r="I54" s="174"/>
    </row>
    <row r="55" spans="1:9" ht="12.75">
      <c r="A55" s="8">
        <v>34547</v>
      </c>
      <c r="B55" s="8">
        <v>34577</v>
      </c>
      <c r="C55" s="88">
        <v>0.3625</v>
      </c>
      <c r="D55" s="4">
        <f t="shared" si="0"/>
        <v>0.54375</v>
      </c>
      <c r="E55" s="173">
        <f t="shared" si="5"/>
        <v>0.03684717219020173</v>
      </c>
      <c r="F55" s="53">
        <f t="shared" si="2"/>
        <v>0.0750520584788179</v>
      </c>
      <c r="G55" s="53">
        <f t="shared" si="3"/>
        <v>0.11466468679101771</v>
      </c>
      <c r="H55" s="53">
        <f t="shared" si="4"/>
        <v>0.24247736397891773</v>
      </c>
      <c r="I55" s="174"/>
    </row>
    <row r="56" spans="1:9" ht="12.75">
      <c r="A56" s="8">
        <v>34578</v>
      </c>
      <c r="B56" s="8">
        <v>34607</v>
      </c>
      <c r="C56" s="88">
        <v>0.3689</v>
      </c>
      <c r="D56" s="4">
        <f t="shared" si="0"/>
        <v>0.55335</v>
      </c>
      <c r="E56" s="173">
        <f t="shared" si="5"/>
        <v>0.03738296030926991</v>
      </c>
      <c r="F56" s="53">
        <f t="shared" si="2"/>
        <v>0.07616340634002428</v>
      </c>
      <c r="G56" s="53">
        <f t="shared" si="3"/>
        <v>0.11639358024552227</v>
      </c>
      <c r="H56" s="53">
        <f t="shared" si="4"/>
        <v>0.24633462601341538</v>
      </c>
      <c r="I56" s="174"/>
    </row>
    <row r="57" spans="1:9" ht="12.75">
      <c r="A57" s="8">
        <v>34608</v>
      </c>
      <c r="B57" s="8">
        <v>34638</v>
      </c>
      <c r="C57" s="88">
        <v>0.3689</v>
      </c>
      <c r="D57" s="4">
        <f t="shared" si="0"/>
        <v>0.55335</v>
      </c>
      <c r="E57" s="173">
        <f t="shared" si="5"/>
        <v>0.03738296030926991</v>
      </c>
      <c r="F57" s="53">
        <f t="shared" si="2"/>
        <v>0.07616340634002428</v>
      </c>
      <c r="G57" s="53">
        <f t="shared" si="3"/>
        <v>0.11639358024552227</v>
      </c>
      <c r="H57" s="53">
        <f t="shared" si="4"/>
        <v>0.24633462601341538</v>
      </c>
      <c r="I57" s="174"/>
    </row>
    <row r="58" spans="1:9" ht="12.75">
      <c r="A58" s="8">
        <v>34639</v>
      </c>
      <c r="B58" s="8">
        <v>34668</v>
      </c>
      <c r="C58" s="88">
        <v>0.3876</v>
      </c>
      <c r="D58" s="4">
        <f t="shared" si="0"/>
        <v>0.5814</v>
      </c>
      <c r="E58" s="173">
        <f t="shared" si="5"/>
        <v>0.0389312538306148</v>
      </c>
      <c r="F58" s="53">
        <f t="shared" si="2"/>
        <v>0.07937815018605332</v>
      </c>
      <c r="G58" s="53">
        <f t="shared" si="3"/>
        <v>0.12139969493016589</v>
      </c>
      <c r="H58" s="53">
        <f t="shared" si="4"/>
        <v>0.2575372757894694</v>
      </c>
      <c r="I58" s="174"/>
    </row>
    <row r="59" spans="1:9" ht="12.75">
      <c r="A59" s="8">
        <v>34669</v>
      </c>
      <c r="B59" s="8">
        <v>34699</v>
      </c>
      <c r="C59" s="88">
        <v>0.3876</v>
      </c>
      <c r="D59" s="4">
        <f t="shared" si="0"/>
        <v>0.5814</v>
      </c>
      <c r="E59" s="173">
        <f t="shared" si="5"/>
        <v>0.0389312538306148</v>
      </c>
      <c r="F59" s="53">
        <f t="shared" si="2"/>
        <v>0.07937815018605332</v>
      </c>
      <c r="G59" s="53">
        <f t="shared" si="3"/>
        <v>0.12139969493016589</v>
      </c>
      <c r="H59" s="53">
        <f t="shared" si="4"/>
        <v>0.2575372757894694</v>
      </c>
      <c r="I59" s="174"/>
    </row>
    <row r="60" spans="1:9" ht="12.75">
      <c r="A60" s="8">
        <v>34700</v>
      </c>
      <c r="B60" s="8">
        <v>34730</v>
      </c>
      <c r="C60" s="88">
        <v>0.4012</v>
      </c>
      <c r="D60" s="4">
        <f t="shared" si="0"/>
        <v>0.6018</v>
      </c>
      <c r="E60" s="173">
        <f t="shared" si="5"/>
        <v>0.04004155221596695</v>
      </c>
      <c r="F60" s="53">
        <f t="shared" si="2"/>
        <v>0.08168643033579803</v>
      </c>
      <c r="G60" s="53">
        <f t="shared" si="3"/>
        <v>0.12499883401739176</v>
      </c>
      <c r="H60" s="53">
        <f t="shared" si="4"/>
        <v>0.2656223765404908</v>
      </c>
      <c r="I60" s="174"/>
    </row>
    <row r="61" spans="1:9" ht="12.75">
      <c r="A61" s="8">
        <v>34731</v>
      </c>
      <c r="B61" s="8">
        <v>34758</v>
      </c>
      <c r="C61" s="88">
        <v>0.4012</v>
      </c>
      <c r="D61" s="4">
        <f t="shared" si="0"/>
        <v>0.6018</v>
      </c>
      <c r="E61" s="173">
        <f t="shared" si="5"/>
        <v>0.04004155221596695</v>
      </c>
      <c r="F61" s="53">
        <f t="shared" si="2"/>
        <v>0.08168643033579803</v>
      </c>
      <c r="G61" s="53">
        <f t="shared" si="3"/>
        <v>0.12499883401739176</v>
      </c>
      <c r="H61" s="53">
        <f t="shared" si="4"/>
        <v>0.2656223765404908</v>
      </c>
      <c r="I61" s="174"/>
    </row>
    <row r="62" spans="1:9" ht="12.75">
      <c r="A62" s="8">
        <v>34759</v>
      </c>
      <c r="B62" s="8">
        <v>34789</v>
      </c>
      <c r="C62" s="88">
        <v>0.4274</v>
      </c>
      <c r="D62" s="4">
        <f t="shared" si="0"/>
        <v>0.6411</v>
      </c>
      <c r="E62" s="173">
        <f t="shared" si="5"/>
        <v>0.04214445107293607</v>
      </c>
      <c r="F62" s="53">
        <f t="shared" si="2"/>
        <v>0.08606505690211108</v>
      </c>
      <c r="G62" s="53">
        <f t="shared" si="3"/>
        <v>0.1318366725547475</v>
      </c>
      <c r="H62" s="53">
        <f t="shared" si="4"/>
        <v>0.28105425333980283</v>
      </c>
      <c r="I62" s="174"/>
    </row>
    <row r="63" spans="1:9" ht="12.75">
      <c r="A63" s="8">
        <v>34790</v>
      </c>
      <c r="B63" s="8">
        <v>34819</v>
      </c>
      <c r="C63" s="88">
        <v>0.4274</v>
      </c>
      <c r="D63" s="4">
        <f t="shared" si="0"/>
        <v>0.6411</v>
      </c>
      <c r="E63" s="173">
        <f t="shared" si="5"/>
        <v>0.04214445107293607</v>
      </c>
      <c r="F63" s="53">
        <f t="shared" si="2"/>
        <v>0.08606505690211108</v>
      </c>
      <c r="G63" s="53">
        <f t="shared" si="3"/>
        <v>0.1318366725547475</v>
      </c>
      <c r="H63" s="53">
        <f t="shared" si="4"/>
        <v>0.28105425333980283</v>
      </c>
      <c r="I63" s="174"/>
    </row>
    <row r="64" spans="1:9" ht="12.75">
      <c r="A64" s="8">
        <v>34820</v>
      </c>
      <c r="B64" s="8">
        <v>34850</v>
      </c>
      <c r="C64" s="88">
        <v>0.4245</v>
      </c>
      <c r="D64" s="4">
        <f t="shared" si="0"/>
        <v>0.6367499999999999</v>
      </c>
      <c r="E64" s="173">
        <f t="shared" si="5"/>
        <v>0.04191397328436919</v>
      </c>
      <c r="F64" s="53">
        <f t="shared" si="2"/>
        <v>0.0855847277252213</v>
      </c>
      <c r="G64" s="53">
        <f t="shared" si="3"/>
        <v>0.13108589700101558</v>
      </c>
      <c r="H64" s="53">
        <f t="shared" si="4"/>
        <v>0.2793553063945917</v>
      </c>
      <c r="I64" s="174"/>
    </row>
    <row r="65" spans="1:9" ht="12.75">
      <c r="A65" s="8">
        <v>34851</v>
      </c>
      <c r="B65" s="8">
        <v>34880</v>
      </c>
      <c r="C65" s="88">
        <v>0.4245</v>
      </c>
      <c r="D65" s="4">
        <f t="shared" si="0"/>
        <v>0.6367499999999999</v>
      </c>
      <c r="E65" s="173">
        <f t="shared" si="5"/>
        <v>0.04191397328436919</v>
      </c>
      <c r="F65" s="53">
        <f t="shared" si="2"/>
        <v>0.0855847277252213</v>
      </c>
      <c r="G65" s="53">
        <f t="shared" si="3"/>
        <v>0.13108589700101558</v>
      </c>
      <c r="H65" s="53">
        <f t="shared" si="4"/>
        <v>0.2793553063945917</v>
      </c>
      <c r="I65" s="174"/>
    </row>
    <row r="66" spans="1:9" ht="12.75">
      <c r="A66" s="8">
        <v>34881</v>
      </c>
      <c r="B66" s="8">
        <v>34911</v>
      </c>
      <c r="C66" s="88">
        <v>0.4384</v>
      </c>
      <c r="D66" s="4">
        <f t="shared" si="0"/>
        <v>0.6576</v>
      </c>
      <c r="E66" s="173">
        <f t="shared" si="5"/>
        <v>0.0430136165285786</v>
      </c>
      <c r="F66" s="53">
        <f t="shared" si="2"/>
        <v>0.08787740426402468</v>
      </c>
      <c r="G66" s="53">
        <f t="shared" si="3"/>
        <v>0.1346709457611428</v>
      </c>
      <c r="H66" s="53">
        <f t="shared" si="4"/>
        <v>0.2874781551544865</v>
      </c>
      <c r="I66" s="174"/>
    </row>
    <row r="67" spans="1:9" ht="12.75">
      <c r="A67" s="8">
        <v>34912</v>
      </c>
      <c r="B67" s="8">
        <v>34942</v>
      </c>
      <c r="C67" s="88">
        <v>0.4384</v>
      </c>
      <c r="D67" s="4">
        <f t="shared" si="0"/>
        <v>0.6576</v>
      </c>
      <c r="E67" s="173">
        <f t="shared" si="5"/>
        <v>0.0430136165285786</v>
      </c>
      <c r="F67" s="53">
        <f t="shared" si="2"/>
        <v>0.08787740426402468</v>
      </c>
      <c r="G67" s="53">
        <f t="shared" si="3"/>
        <v>0.1346709457611428</v>
      </c>
      <c r="H67" s="53">
        <f t="shared" si="4"/>
        <v>0.2874781551544865</v>
      </c>
      <c r="I67" s="174"/>
    </row>
    <row r="68" spans="1:9" ht="12.75">
      <c r="A68" s="8">
        <v>34943</v>
      </c>
      <c r="B68" s="8">
        <v>34972</v>
      </c>
      <c r="C68" s="88">
        <v>0.4462</v>
      </c>
      <c r="D68" s="4">
        <f t="shared" si="0"/>
        <v>0.6693</v>
      </c>
      <c r="E68" s="173">
        <f t="shared" si="5"/>
        <v>0.04362514110636084</v>
      </c>
      <c r="F68" s="53">
        <f t="shared" si="2"/>
        <v>0.08915343514927132</v>
      </c>
      <c r="G68" s="53">
        <f t="shared" si="3"/>
        <v>0.13666790744413593</v>
      </c>
      <c r="H68" s="53">
        <f t="shared" si="4"/>
        <v>0.2920139318134305</v>
      </c>
      <c r="I68" s="174"/>
    </row>
    <row r="69" spans="1:9" ht="12.75">
      <c r="A69" s="8">
        <v>34973</v>
      </c>
      <c r="B69" s="8">
        <v>35003</v>
      </c>
      <c r="C69" s="88">
        <v>0.4462</v>
      </c>
      <c r="D69" s="4">
        <f t="shared" si="0"/>
        <v>0.6693</v>
      </c>
      <c r="E69" s="173">
        <f t="shared" si="5"/>
        <v>0.04362514110636084</v>
      </c>
      <c r="F69" s="53">
        <f t="shared" si="2"/>
        <v>0.08915343514927132</v>
      </c>
      <c r="G69" s="53">
        <f t="shared" si="3"/>
        <v>0.13666790744413593</v>
      </c>
      <c r="H69" s="53">
        <f t="shared" si="4"/>
        <v>0.2920139318134305</v>
      </c>
      <c r="I69" s="174"/>
    </row>
    <row r="70" spans="1:9" ht="12.75">
      <c r="A70" s="8">
        <v>35004</v>
      </c>
      <c r="B70" s="8">
        <v>35033</v>
      </c>
      <c r="C70" s="88">
        <v>0.4272</v>
      </c>
      <c r="D70" s="4">
        <f t="shared" si="0"/>
        <v>0.6408</v>
      </c>
      <c r="E70" s="173">
        <f t="shared" si="5"/>
        <v>0.04212857404262671</v>
      </c>
      <c r="F70" s="53">
        <f t="shared" si="2"/>
        <v>0.08603196483611852</v>
      </c>
      <c r="G70" s="53">
        <f t="shared" si="3"/>
        <v>0.13178494287937625</v>
      </c>
      <c r="H70" s="53">
        <f t="shared" si="4"/>
        <v>0.2809371569284733</v>
      </c>
      <c r="I70" s="174"/>
    </row>
    <row r="71" spans="1:9" ht="12.75">
      <c r="A71" s="8">
        <v>35034</v>
      </c>
      <c r="B71" s="8">
        <v>35064</v>
      </c>
      <c r="C71" s="88">
        <v>0.4272</v>
      </c>
      <c r="D71" s="4">
        <f t="shared" si="0"/>
        <v>0.6408</v>
      </c>
      <c r="E71" s="173">
        <f t="shared" si="5"/>
        <v>0.04212857404262671</v>
      </c>
      <c r="F71" s="53">
        <f t="shared" si="2"/>
        <v>0.08603196483611852</v>
      </c>
      <c r="G71" s="53">
        <f t="shared" si="3"/>
        <v>0.13178494287937625</v>
      </c>
      <c r="H71" s="53">
        <f t="shared" si="4"/>
        <v>0.2809371569284733</v>
      </c>
      <c r="I71" s="174"/>
    </row>
    <row r="72" spans="1:9" ht="12.75">
      <c r="A72" s="8">
        <v>35065</v>
      </c>
      <c r="B72" s="8">
        <v>35095</v>
      </c>
      <c r="C72" s="88">
        <v>0.4027</v>
      </c>
      <c r="D72" s="4">
        <f t="shared" si="0"/>
        <v>0.60405</v>
      </c>
      <c r="E72" s="173">
        <f t="shared" si="5"/>
        <v>0.040163216815929825</v>
      </c>
      <c r="F72" s="53">
        <f t="shared" si="2"/>
        <v>0.08193951761686291</v>
      </c>
      <c r="G72" s="53">
        <f t="shared" si="3"/>
        <v>0.12539368904463144</v>
      </c>
      <c r="H72" s="53">
        <f t="shared" si="4"/>
        <v>0.2665109553414846</v>
      </c>
      <c r="I72" s="174"/>
    </row>
    <row r="73" spans="1:9" ht="12.75">
      <c r="A73" s="8">
        <v>35096</v>
      </c>
      <c r="B73" s="8">
        <v>35124</v>
      </c>
      <c r="C73" s="88">
        <v>0.4027</v>
      </c>
      <c r="D73" s="4">
        <f t="shared" si="0"/>
        <v>0.60405</v>
      </c>
      <c r="E73" s="173">
        <f t="shared" si="5"/>
        <v>0.040163216815929825</v>
      </c>
      <c r="F73" s="53">
        <f t="shared" si="2"/>
        <v>0.08193951761686291</v>
      </c>
      <c r="G73" s="53">
        <f t="shared" si="3"/>
        <v>0.12539368904463144</v>
      </c>
      <c r="H73" s="53">
        <f t="shared" si="4"/>
        <v>0.2665109553414846</v>
      </c>
      <c r="I73" s="174"/>
    </row>
    <row r="74" spans="1:9" ht="12.75">
      <c r="A74" s="8">
        <v>35125</v>
      </c>
      <c r="B74" s="8">
        <v>35155</v>
      </c>
      <c r="C74" s="88">
        <v>0.4137</v>
      </c>
      <c r="D74" s="4">
        <f t="shared" si="0"/>
        <v>0.62055</v>
      </c>
      <c r="E74" s="173">
        <f t="shared" si="5"/>
        <v>0.04105067383450578</v>
      </c>
      <c r="F74" s="53">
        <f t="shared" si="2"/>
        <v>0.08378650549127853</v>
      </c>
      <c r="G74" s="53">
        <f t="shared" si="3"/>
        <v>0.12827667183443991</v>
      </c>
      <c r="H74" s="53">
        <f t="shared" si="4"/>
        <v>0.2730082482058003</v>
      </c>
      <c r="I74" s="174"/>
    </row>
    <row r="75" spans="1:9" ht="12.75">
      <c r="A75" s="8">
        <v>35156</v>
      </c>
      <c r="B75" s="8">
        <v>35185</v>
      </c>
      <c r="C75" s="88">
        <v>0.4137</v>
      </c>
      <c r="D75" s="4">
        <f t="shared" si="0"/>
        <v>0.62055</v>
      </c>
      <c r="E75" s="173">
        <f t="shared" si="5"/>
        <v>0.04105067383450578</v>
      </c>
      <c r="F75" s="53">
        <f t="shared" si="2"/>
        <v>0.08378650549127853</v>
      </c>
      <c r="G75" s="53">
        <f t="shared" si="3"/>
        <v>0.12827667183443991</v>
      </c>
      <c r="H75" s="53">
        <f t="shared" si="4"/>
        <v>0.2730082482058003</v>
      </c>
      <c r="I75" s="174"/>
    </row>
    <row r="76" spans="1:9" ht="12.75">
      <c r="A76" s="8">
        <v>35186</v>
      </c>
      <c r="B76" s="8">
        <v>35216</v>
      </c>
      <c r="C76" s="88">
        <v>0.4219</v>
      </c>
      <c r="D76" s="4">
        <f t="shared" si="0"/>
        <v>0.63285</v>
      </c>
      <c r="E76" s="173">
        <f t="shared" si="5"/>
        <v>0.04170686015438485</v>
      </c>
      <c r="F76" s="53">
        <f t="shared" si="2"/>
        <v>0.08515318249270698</v>
      </c>
      <c r="G76" s="53">
        <f t="shared" si="3"/>
        <v>0.13041151452101607</v>
      </c>
      <c r="H76" s="53">
        <f t="shared" si="4"/>
        <v>0.27783019216169724</v>
      </c>
      <c r="I76" s="174"/>
    </row>
    <row r="77" spans="1:9" ht="12.75">
      <c r="A77" s="8">
        <v>35217</v>
      </c>
      <c r="B77" s="8">
        <v>35246</v>
      </c>
      <c r="C77" s="88">
        <v>0.4219</v>
      </c>
      <c r="D77" s="4">
        <f t="shared" si="0"/>
        <v>0.63285</v>
      </c>
      <c r="E77" s="173">
        <f t="shared" si="5"/>
        <v>0.04170686015438485</v>
      </c>
      <c r="F77" s="53">
        <f t="shared" si="2"/>
        <v>0.08515318249270698</v>
      </c>
      <c r="G77" s="53">
        <f t="shared" si="3"/>
        <v>0.13041151452101607</v>
      </c>
      <c r="H77" s="53">
        <f t="shared" si="4"/>
        <v>0.27783019216169724</v>
      </c>
      <c r="I77" s="174"/>
    </row>
    <row r="78" spans="1:9" ht="12.75">
      <c r="A78" s="8">
        <v>35247</v>
      </c>
      <c r="B78" s="8">
        <v>35277</v>
      </c>
      <c r="C78" s="88">
        <v>0.4294</v>
      </c>
      <c r="D78" s="4">
        <f t="shared" si="0"/>
        <v>0.6441</v>
      </c>
      <c r="E78" s="173">
        <f t="shared" si="5"/>
        <v>0.04230307521314636</v>
      </c>
      <c r="F78" s="53">
        <f t="shared" si="2"/>
        <v>0.08639570059878188</v>
      </c>
      <c r="G78" s="53">
        <f t="shared" si="3"/>
        <v>0.13235357963245087</v>
      </c>
      <c r="H78" s="53">
        <f t="shared" si="4"/>
        <v>0.28222462930642545</v>
      </c>
      <c r="I78" s="174"/>
    </row>
    <row r="79" spans="1:9" ht="12.75">
      <c r="A79" s="8">
        <v>35278</v>
      </c>
      <c r="B79" s="8">
        <v>35308</v>
      </c>
      <c r="C79" s="88">
        <v>0.4294</v>
      </c>
      <c r="D79" s="4">
        <f t="shared" si="0"/>
        <v>0.6441</v>
      </c>
      <c r="E79" s="173">
        <f t="shared" si="5"/>
        <v>0.04230307521314636</v>
      </c>
      <c r="F79" s="53">
        <f t="shared" si="2"/>
        <v>0.08639570059878188</v>
      </c>
      <c r="G79" s="53">
        <f t="shared" si="3"/>
        <v>0.13235357963245087</v>
      </c>
      <c r="H79" s="53">
        <f t="shared" si="4"/>
        <v>0.28222462930642545</v>
      </c>
      <c r="I79" s="174"/>
    </row>
    <row r="80" spans="1:9" ht="12.75">
      <c r="A80" s="8">
        <v>35309</v>
      </c>
      <c r="B80" s="8">
        <v>35338</v>
      </c>
      <c r="C80" s="88">
        <v>0.4229</v>
      </c>
      <c r="D80" s="4">
        <f t="shared" si="0"/>
        <v>0.63435</v>
      </c>
      <c r="E80" s="173">
        <f t="shared" si="5"/>
        <v>0.04178657265967156</v>
      </c>
      <c r="F80" s="53">
        <f t="shared" si="2"/>
        <v>0.08531926297398518</v>
      </c>
      <c r="G80" s="53">
        <f t="shared" si="3"/>
        <v>0.13067103521518897</v>
      </c>
      <c r="H80" s="53">
        <f t="shared" si="4"/>
        <v>0.27841698987458696</v>
      </c>
      <c r="I80" s="174"/>
    </row>
    <row r="81" spans="1:9" ht="12.75">
      <c r="A81" s="8">
        <v>35339</v>
      </c>
      <c r="B81" s="8">
        <v>35369</v>
      </c>
      <c r="C81" s="88">
        <v>0.4229</v>
      </c>
      <c r="D81" s="4">
        <f aca="true" t="shared" si="6" ref="D81:D144">IF(C81="","",C81*1.5)</f>
        <v>0.63435</v>
      </c>
      <c r="E81" s="173">
        <f t="shared" si="5"/>
        <v>0.04178657265967156</v>
      </c>
      <c r="F81" s="53">
        <f t="shared" si="2"/>
        <v>0.08531926297398518</v>
      </c>
      <c r="G81" s="53">
        <f t="shared" si="3"/>
        <v>0.13067103521518897</v>
      </c>
      <c r="H81" s="53">
        <f t="shared" si="4"/>
        <v>0.27841698987458696</v>
      </c>
      <c r="I81" s="174"/>
    </row>
    <row r="82" spans="1:9" ht="12.75">
      <c r="A82" s="8">
        <v>35370</v>
      </c>
      <c r="B82" s="8">
        <v>35399</v>
      </c>
      <c r="C82" s="88">
        <v>0.4137</v>
      </c>
      <c r="D82" s="4">
        <f t="shared" si="6"/>
        <v>0.62055</v>
      </c>
      <c r="E82" s="173">
        <f t="shared" si="5"/>
        <v>0.04105067383450578</v>
      </c>
      <c r="F82" s="53">
        <f aca="true" t="shared" si="7" ref="F82:F145">IF(D82="","",POWER((1+D82),(1/6))-1)</f>
        <v>0.08378650549127853</v>
      </c>
      <c r="G82" s="53">
        <f aca="true" t="shared" si="8" ref="G82:G145">IF(D82="","",POWER((1+D82),(1/4))-1)</f>
        <v>0.12827667183443991</v>
      </c>
      <c r="H82" s="53">
        <f aca="true" t="shared" si="9" ref="H82:H145">IF(D82="","",POWER((1+D82),(1/2))-1)</f>
        <v>0.2730082482058003</v>
      </c>
      <c r="I82" s="174"/>
    </row>
    <row r="83" spans="1:9" ht="12.75">
      <c r="A83" s="8">
        <v>35400</v>
      </c>
      <c r="B83" s="8">
        <v>35430</v>
      </c>
      <c r="C83" s="88">
        <v>0.4137</v>
      </c>
      <c r="D83" s="4">
        <f t="shared" si="6"/>
        <v>0.62055</v>
      </c>
      <c r="E83" s="173">
        <f t="shared" si="5"/>
        <v>0.04105067383450578</v>
      </c>
      <c r="F83" s="53">
        <f t="shared" si="7"/>
        <v>0.08378650549127853</v>
      </c>
      <c r="G83" s="53">
        <f t="shared" si="8"/>
        <v>0.12827667183443991</v>
      </c>
      <c r="H83" s="53">
        <f t="shared" si="9"/>
        <v>0.2730082482058003</v>
      </c>
      <c r="I83" s="174"/>
    </row>
    <row r="84" spans="1:9" ht="12.75">
      <c r="A84" s="8">
        <v>35431</v>
      </c>
      <c r="B84" s="8">
        <v>35461</v>
      </c>
      <c r="C84" s="88">
        <v>0.3977</v>
      </c>
      <c r="D84" s="4">
        <f t="shared" si="6"/>
        <v>0.59655</v>
      </c>
      <c r="E84" s="173">
        <f t="shared" si="5"/>
        <v>0.03975705780371053</v>
      </c>
      <c r="F84" s="53">
        <f t="shared" si="7"/>
        <v>0.08109473925262867</v>
      </c>
      <c r="G84" s="53">
        <f t="shared" si="8"/>
        <v>0.12407588529238267</v>
      </c>
      <c r="H84" s="53">
        <f t="shared" si="9"/>
        <v>0.26354659589585383</v>
      </c>
      <c r="I84" s="174"/>
    </row>
    <row r="85" spans="1:9" ht="12.75">
      <c r="A85" s="8">
        <v>35462</v>
      </c>
      <c r="B85" s="8">
        <v>35489</v>
      </c>
      <c r="C85" s="88">
        <v>0.3977</v>
      </c>
      <c r="D85" s="4">
        <f t="shared" si="6"/>
        <v>0.59655</v>
      </c>
      <c r="E85" s="173">
        <f t="shared" si="5"/>
        <v>0.03975705780371053</v>
      </c>
      <c r="F85" s="53">
        <f t="shared" si="7"/>
        <v>0.08109473925262867</v>
      </c>
      <c r="G85" s="53">
        <f t="shared" si="8"/>
        <v>0.12407588529238267</v>
      </c>
      <c r="H85" s="53">
        <f t="shared" si="9"/>
        <v>0.26354659589585383</v>
      </c>
      <c r="I85" s="174"/>
    </row>
    <row r="86" spans="1:9" ht="12.75">
      <c r="A86" s="8">
        <v>35490</v>
      </c>
      <c r="B86" s="8">
        <v>35520</v>
      </c>
      <c r="C86" s="88">
        <v>0.3895</v>
      </c>
      <c r="D86" s="4">
        <f t="shared" si="6"/>
        <v>0.58425</v>
      </c>
      <c r="E86" s="173">
        <f t="shared" si="5"/>
        <v>0.03908715530569329</v>
      </c>
      <c r="F86" s="53">
        <f t="shared" si="7"/>
        <v>0.0797021163212781</v>
      </c>
      <c r="G86" s="53">
        <f t="shared" si="8"/>
        <v>0.12190460062581376</v>
      </c>
      <c r="H86" s="53">
        <f t="shared" si="9"/>
        <v>0.25866993290536655</v>
      </c>
      <c r="I86" s="174"/>
    </row>
    <row r="87" spans="1:9" ht="12.75">
      <c r="A87" s="8">
        <v>35521</v>
      </c>
      <c r="B87" s="8">
        <v>35550</v>
      </c>
      <c r="C87" s="88">
        <v>0.3895</v>
      </c>
      <c r="D87" s="4">
        <f t="shared" si="6"/>
        <v>0.58425</v>
      </c>
      <c r="E87" s="173">
        <f t="shared" si="5"/>
        <v>0.03908715530569329</v>
      </c>
      <c r="F87" s="53">
        <f t="shared" si="7"/>
        <v>0.0797021163212781</v>
      </c>
      <c r="G87" s="53">
        <f t="shared" si="8"/>
        <v>0.12190460062581376</v>
      </c>
      <c r="H87" s="53">
        <f t="shared" si="9"/>
        <v>0.25866993290536655</v>
      </c>
      <c r="I87" s="174"/>
    </row>
    <row r="88" spans="1:9" ht="12.75">
      <c r="A88" s="8">
        <v>35551</v>
      </c>
      <c r="B88" s="8">
        <v>35581</v>
      </c>
      <c r="C88" s="88">
        <v>0.3699</v>
      </c>
      <c r="D88" s="4">
        <f t="shared" si="6"/>
        <v>0.5548500000000001</v>
      </c>
      <c r="E88" s="173">
        <f t="shared" si="5"/>
        <v>0.037466402877442295</v>
      </c>
      <c r="F88" s="53">
        <f t="shared" si="7"/>
        <v>0.07633653709945931</v>
      </c>
      <c r="G88" s="53">
        <f t="shared" si="8"/>
        <v>0.11666299543013858</v>
      </c>
      <c r="H88" s="53">
        <f t="shared" si="9"/>
        <v>0.24693624536300973</v>
      </c>
      <c r="I88" s="174"/>
    </row>
    <row r="89" spans="1:9" ht="12.75">
      <c r="A89" s="8">
        <v>35582</v>
      </c>
      <c r="B89" s="8">
        <v>35611</v>
      </c>
      <c r="C89" s="88">
        <v>0.3699</v>
      </c>
      <c r="D89" s="4">
        <f t="shared" si="6"/>
        <v>0.5548500000000001</v>
      </c>
      <c r="E89" s="173">
        <f t="shared" si="5"/>
        <v>0.037466402877442295</v>
      </c>
      <c r="F89" s="53">
        <f t="shared" si="7"/>
        <v>0.07633653709945931</v>
      </c>
      <c r="G89" s="53">
        <f t="shared" si="8"/>
        <v>0.11666299543013858</v>
      </c>
      <c r="H89" s="53">
        <f t="shared" si="9"/>
        <v>0.24693624536300973</v>
      </c>
      <c r="I89" s="174"/>
    </row>
    <row r="90" spans="1:9" ht="12.75">
      <c r="A90" s="8">
        <v>35612</v>
      </c>
      <c r="B90" s="8">
        <v>35642</v>
      </c>
      <c r="C90" s="88">
        <v>0.365</v>
      </c>
      <c r="D90" s="4">
        <f t="shared" si="6"/>
        <v>0.5475</v>
      </c>
      <c r="E90" s="173">
        <f t="shared" si="5"/>
        <v>0.03705682696268653</v>
      </c>
      <c r="F90" s="53">
        <f t="shared" si="7"/>
        <v>0.07548686234991542</v>
      </c>
      <c r="G90" s="53">
        <f t="shared" si="8"/>
        <v>0.11534099290865885</v>
      </c>
      <c r="H90" s="53">
        <f t="shared" si="9"/>
        <v>0.24398553046247273</v>
      </c>
      <c r="I90" s="174"/>
    </row>
    <row r="91" spans="1:9" ht="12.75">
      <c r="A91" s="8">
        <v>35643</v>
      </c>
      <c r="B91" s="8">
        <v>35673</v>
      </c>
      <c r="C91" s="88">
        <v>0.365</v>
      </c>
      <c r="D91" s="4">
        <f t="shared" si="6"/>
        <v>0.5475</v>
      </c>
      <c r="E91" s="173">
        <f t="shared" si="5"/>
        <v>0.03705682696268653</v>
      </c>
      <c r="F91" s="53">
        <f t="shared" si="7"/>
        <v>0.07548686234991542</v>
      </c>
      <c r="G91" s="53">
        <f t="shared" si="8"/>
        <v>0.11534099290865885</v>
      </c>
      <c r="H91" s="53">
        <f t="shared" si="9"/>
        <v>0.24398553046247273</v>
      </c>
      <c r="I91" s="174"/>
    </row>
    <row r="92" spans="1:9" ht="12.75">
      <c r="A92" s="8">
        <v>35674</v>
      </c>
      <c r="B92" s="8">
        <v>35703</v>
      </c>
      <c r="C92" s="88">
        <v>0.3184</v>
      </c>
      <c r="D92" s="4">
        <f t="shared" si="6"/>
        <v>0.4776</v>
      </c>
      <c r="E92" s="173">
        <f t="shared" si="5"/>
        <v>0.03306997677882073</v>
      </c>
      <c r="F92" s="53">
        <f t="shared" si="7"/>
        <v>0.06723357692179333</v>
      </c>
      <c r="G92" s="53">
        <f t="shared" si="8"/>
        <v>0.10252696652817495</v>
      </c>
      <c r="H92" s="53">
        <f t="shared" si="9"/>
        <v>0.2155657119218195</v>
      </c>
      <c r="I92" s="174"/>
    </row>
    <row r="93" spans="1:9" ht="12.75">
      <c r="A93" s="8">
        <v>35704</v>
      </c>
      <c r="B93" s="8">
        <v>35734</v>
      </c>
      <c r="C93" s="88">
        <v>0.3133</v>
      </c>
      <c r="D93" s="4">
        <f t="shared" si="6"/>
        <v>0.46995000000000003</v>
      </c>
      <c r="E93" s="173">
        <f t="shared" si="5"/>
        <v>0.0326232049379207</v>
      </c>
      <c r="F93" s="53">
        <f t="shared" si="7"/>
        <v>0.066310683376263</v>
      </c>
      <c r="G93" s="53">
        <f t="shared" si="8"/>
        <v>0.10109715532754104</v>
      </c>
      <c r="H93" s="53">
        <f t="shared" si="9"/>
        <v>0.21241494547040296</v>
      </c>
      <c r="I93" s="174"/>
    </row>
    <row r="94" spans="1:9" ht="12.75">
      <c r="A94" s="8">
        <v>35735</v>
      </c>
      <c r="B94" s="8">
        <v>35764</v>
      </c>
      <c r="C94" s="88">
        <v>0.3147</v>
      </c>
      <c r="D94" s="4">
        <f t="shared" si="6"/>
        <v>0.47204999999999997</v>
      </c>
      <c r="E94" s="173">
        <f aca="true" t="shared" si="10" ref="E94:E154">IF(D94="","",POWER((1+D94),(1/12))-1)</f>
        <v>0.032746060030486523</v>
      </c>
      <c r="F94" s="53">
        <f t="shared" si="7"/>
        <v>0.06656442450849331</v>
      </c>
      <c r="G94" s="53">
        <f t="shared" si="8"/>
        <v>0.10149020717983004</v>
      </c>
      <c r="H94" s="53">
        <f t="shared" si="9"/>
        <v>0.2132806765130646</v>
      </c>
      <c r="I94" s="174"/>
    </row>
    <row r="95" spans="1:9" ht="12.75">
      <c r="A95" s="8">
        <v>35765</v>
      </c>
      <c r="B95" s="8">
        <v>35795</v>
      </c>
      <c r="C95" s="88">
        <v>0.3174</v>
      </c>
      <c r="D95" s="4">
        <f t="shared" si="6"/>
        <v>0.4761</v>
      </c>
      <c r="E95" s="173">
        <f t="shared" si="10"/>
        <v>0.03298254183726468</v>
      </c>
      <c r="F95" s="53">
        <f t="shared" si="7"/>
        <v>0.06705293174057636</v>
      </c>
      <c r="G95" s="53">
        <f t="shared" si="8"/>
        <v>0.102247049704286</v>
      </c>
      <c r="H95" s="53">
        <f t="shared" si="9"/>
        <v>0.21494855858180273</v>
      </c>
      <c r="I95" s="174"/>
    </row>
    <row r="96" spans="1:9" ht="12.75">
      <c r="A96" s="8">
        <v>35796</v>
      </c>
      <c r="B96" s="8">
        <v>35826</v>
      </c>
      <c r="C96" s="88">
        <v>0.3169</v>
      </c>
      <c r="D96" s="4">
        <f t="shared" si="6"/>
        <v>0.47535000000000005</v>
      </c>
      <c r="E96" s="173">
        <f t="shared" si="10"/>
        <v>0.03293879381976872</v>
      </c>
      <c r="F96" s="53">
        <f t="shared" si="7"/>
        <v>0.06696255177783872</v>
      </c>
      <c r="G96" s="53">
        <f t="shared" si="8"/>
        <v>0.10210701128426347</v>
      </c>
      <c r="H96" s="53">
        <f t="shared" si="9"/>
        <v>0.2146398643219316</v>
      </c>
      <c r="I96" s="174"/>
    </row>
    <row r="97" spans="1:9" ht="12.75">
      <c r="A97" s="8">
        <v>35827</v>
      </c>
      <c r="B97" s="8">
        <v>35854</v>
      </c>
      <c r="C97" s="88">
        <v>0.3256</v>
      </c>
      <c r="D97" s="4">
        <f t="shared" si="6"/>
        <v>0.4884</v>
      </c>
      <c r="E97" s="173">
        <f t="shared" si="10"/>
        <v>0.03369711721997004</v>
      </c>
      <c r="F97" s="53">
        <f t="shared" si="7"/>
        <v>0.06852973014887653</v>
      </c>
      <c r="G97" s="53">
        <f t="shared" si="8"/>
        <v>0.10453610171872607</v>
      </c>
      <c r="H97" s="53">
        <f t="shared" si="9"/>
        <v>0.21999999999999997</v>
      </c>
      <c r="I97" s="174"/>
    </row>
    <row r="98" spans="1:9" ht="12.75">
      <c r="A98" s="8">
        <v>35855</v>
      </c>
      <c r="B98" s="8">
        <v>35885</v>
      </c>
      <c r="C98" s="88">
        <v>0.3215</v>
      </c>
      <c r="D98" s="4">
        <f t="shared" si="6"/>
        <v>0.48225</v>
      </c>
      <c r="E98" s="173">
        <f t="shared" si="10"/>
        <v>0.03334050897383922</v>
      </c>
      <c r="F98" s="53">
        <f t="shared" si="7"/>
        <v>0.06779260748631288</v>
      </c>
      <c r="G98" s="53">
        <f t="shared" si="8"/>
        <v>0.10339335649840953</v>
      </c>
      <c r="H98" s="53">
        <f t="shared" si="9"/>
        <v>0.21747689916482615</v>
      </c>
      <c r="I98" s="174"/>
    </row>
    <row r="99" spans="1:9" ht="12.75">
      <c r="A99" s="8">
        <v>35886</v>
      </c>
      <c r="B99" s="8">
        <v>35915</v>
      </c>
      <c r="C99" s="88">
        <v>0.3628</v>
      </c>
      <c r="D99" s="4">
        <f t="shared" si="6"/>
        <v>0.5442</v>
      </c>
      <c r="E99" s="173">
        <f t="shared" si="10"/>
        <v>0.036872355396805334</v>
      </c>
      <c r="F99" s="53">
        <f t="shared" si="7"/>
        <v>0.07510428138611869</v>
      </c>
      <c r="G99" s="53">
        <f t="shared" si="8"/>
        <v>0.1147459085380147</v>
      </c>
      <c r="H99" s="53">
        <f t="shared" si="9"/>
        <v>0.24265844060224362</v>
      </c>
      <c r="I99" s="174"/>
    </row>
    <row r="100" spans="1:9" ht="12.75">
      <c r="A100" s="8">
        <v>35916</v>
      </c>
      <c r="B100" s="8">
        <v>35946</v>
      </c>
      <c r="C100" s="88">
        <v>0.3839</v>
      </c>
      <c r="D100" s="4">
        <f t="shared" si="6"/>
        <v>0.57585</v>
      </c>
      <c r="E100" s="173">
        <f t="shared" si="10"/>
        <v>0.03862691567676424</v>
      </c>
      <c r="F100" s="53">
        <f t="shared" si="7"/>
        <v>0.07874586996822841</v>
      </c>
      <c r="G100" s="53">
        <f t="shared" si="8"/>
        <v>0.12041449572414886</v>
      </c>
      <c r="H100" s="53">
        <f t="shared" si="9"/>
        <v>0.25532864222879903</v>
      </c>
      <c r="I100" s="174"/>
    </row>
    <row r="101" spans="1:9" ht="12.75">
      <c r="A101" s="8">
        <v>35947</v>
      </c>
      <c r="B101" s="8">
        <v>35976</v>
      </c>
      <c r="C101" s="88">
        <v>0.3951</v>
      </c>
      <c r="D101" s="4">
        <f t="shared" si="6"/>
        <v>0.59265</v>
      </c>
      <c r="E101" s="173">
        <f t="shared" si="10"/>
        <v>0.03954516342379799</v>
      </c>
      <c r="F101" s="53">
        <f t="shared" si="7"/>
        <v>0.08065414679781102</v>
      </c>
      <c r="G101" s="53">
        <f t="shared" si="8"/>
        <v>0.12338879163753536</v>
      </c>
      <c r="H101" s="53">
        <f t="shared" si="9"/>
        <v>0.2620023771768418</v>
      </c>
      <c r="I101" s="174"/>
    </row>
    <row r="102" spans="1:9" ht="12.75">
      <c r="A102" s="8">
        <v>35977</v>
      </c>
      <c r="B102" s="8">
        <v>36007</v>
      </c>
      <c r="C102" s="88">
        <v>0.4783</v>
      </c>
      <c r="D102" s="4">
        <f t="shared" si="6"/>
        <v>0.71745</v>
      </c>
      <c r="E102" s="173">
        <f t="shared" si="10"/>
        <v>0.046101139569494576</v>
      </c>
      <c r="F102" s="53">
        <f t="shared" si="7"/>
        <v>0.09432759420859504</v>
      </c>
      <c r="G102" s="53">
        <f t="shared" si="8"/>
        <v>0.14477734336395476</v>
      </c>
      <c r="H102" s="53">
        <f t="shared" si="9"/>
        <v>0.31051516587943384</v>
      </c>
      <c r="I102" s="174"/>
    </row>
    <row r="103" spans="1:9" ht="12.75">
      <c r="A103" s="8">
        <v>36008</v>
      </c>
      <c r="B103" s="8">
        <v>36038</v>
      </c>
      <c r="C103" s="88">
        <v>0.4841</v>
      </c>
      <c r="D103" s="4">
        <f t="shared" si="6"/>
        <v>0.72615</v>
      </c>
      <c r="E103" s="173">
        <f t="shared" si="10"/>
        <v>0.04654171608124935</v>
      </c>
      <c r="F103" s="53">
        <f t="shared" si="7"/>
        <v>0.09524956349828662</v>
      </c>
      <c r="G103" s="53">
        <f t="shared" si="8"/>
        <v>0.14622435772073628</v>
      </c>
      <c r="H103" s="53">
        <f t="shared" si="9"/>
        <v>0.31383027823231413</v>
      </c>
      <c r="I103" s="174"/>
    </row>
    <row r="104" spans="1:9" ht="12.75">
      <c r="A104" s="8">
        <v>36039</v>
      </c>
      <c r="B104" s="8">
        <v>36068</v>
      </c>
      <c r="C104" s="88">
        <v>0.432</v>
      </c>
      <c r="D104" s="4">
        <f t="shared" si="6"/>
        <v>0.648</v>
      </c>
      <c r="E104" s="173">
        <f t="shared" si="10"/>
        <v>0.042508890408186506</v>
      </c>
      <c r="F104" s="53">
        <f t="shared" si="7"/>
        <v>0.08682478658010817</v>
      </c>
      <c r="G104" s="53">
        <f t="shared" si="8"/>
        <v>0.1330245023257428</v>
      </c>
      <c r="H104" s="53">
        <f t="shared" si="9"/>
        <v>0.2837445228704971</v>
      </c>
      <c r="I104" s="174"/>
    </row>
    <row r="105" spans="1:9" ht="12.75">
      <c r="A105" s="8">
        <v>36069</v>
      </c>
      <c r="B105" s="8">
        <v>36099</v>
      </c>
      <c r="C105" s="88">
        <v>0.46</v>
      </c>
      <c r="D105" s="4">
        <f t="shared" si="6"/>
        <v>0.6900000000000001</v>
      </c>
      <c r="E105" s="173">
        <f t="shared" si="10"/>
        <v>0.0446975079232772</v>
      </c>
      <c r="F105" s="53">
        <f t="shared" si="7"/>
        <v>0.09139288306110593</v>
      </c>
      <c r="G105" s="53">
        <f t="shared" si="8"/>
        <v>0.14017542509913805</v>
      </c>
      <c r="H105" s="53">
        <f t="shared" si="9"/>
        <v>0.30000000000000004</v>
      </c>
      <c r="I105" s="174"/>
    </row>
    <row r="106" spans="1:9" ht="12.75">
      <c r="A106" s="8">
        <v>36100</v>
      </c>
      <c r="B106" s="8">
        <v>36129</v>
      </c>
      <c r="C106" s="88">
        <v>0.4999</v>
      </c>
      <c r="D106" s="4">
        <f t="shared" si="6"/>
        <v>0.74985</v>
      </c>
      <c r="E106" s="173">
        <f t="shared" si="10"/>
        <v>0.04773166244866012</v>
      </c>
      <c r="F106" s="53">
        <f t="shared" si="7"/>
        <v>0.09774163649743306</v>
      </c>
      <c r="G106" s="53">
        <f t="shared" si="8"/>
        <v>0.15013866974656853</v>
      </c>
      <c r="H106" s="53">
        <f t="shared" si="9"/>
        <v>0.32281895964640595</v>
      </c>
      <c r="I106" s="174"/>
    </row>
    <row r="107" spans="1:9" ht="12.75">
      <c r="A107" s="8">
        <v>36130</v>
      </c>
      <c r="B107" s="8">
        <v>36160</v>
      </c>
      <c r="C107" s="88">
        <v>0.4771</v>
      </c>
      <c r="D107" s="4">
        <f t="shared" si="6"/>
        <v>0.71565</v>
      </c>
      <c r="E107" s="173">
        <f t="shared" si="10"/>
        <v>0.04600973044681855</v>
      </c>
      <c r="F107" s="53">
        <f t="shared" si="7"/>
        <v>0.09413635618942617</v>
      </c>
      <c r="G107" s="53">
        <f t="shared" si="8"/>
        <v>0.14447727500976604</v>
      </c>
      <c r="H107" s="53">
        <f t="shared" si="9"/>
        <v>0.3098282330137796</v>
      </c>
      <c r="I107" s="174"/>
    </row>
    <row r="108" spans="1:9" ht="12.75">
      <c r="A108" s="8">
        <v>36161</v>
      </c>
      <c r="B108" s="8">
        <v>36191</v>
      </c>
      <c r="C108" s="88">
        <v>0.4549</v>
      </c>
      <c r="D108" s="4">
        <f t="shared" si="6"/>
        <v>0.68235</v>
      </c>
      <c r="E108" s="173">
        <f t="shared" si="10"/>
        <v>0.04430260827094945</v>
      </c>
      <c r="F108" s="53">
        <f t="shared" si="7"/>
        <v>0.09056793764150828</v>
      </c>
      <c r="G108" s="53">
        <f t="shared" si="8"/>
        <v>0.13888294177569738</v>
      </c>
      <c r="H108" s="53">
        <f t="shared" si="9"/>
        <v>0.2970543550676663</v>
      </c>
      <c r="I108" s="174"/>
    </row>
    <row r="109" spans="1:9" ht="12.75">
      <c r="A109" s="8">
        <v>36192</v>
      </c>
      <c r="B109" s="8">
        <v>36219</v>
      </c>
      <c r="C109" s="88">
        <v>0.4239</v>
      </c>
      <c r="D109" s="4">
        <f t="shared" si="6"/>
        <v>0.63585</v>
      </c>
      <c r="E109" s="173">
        <f t="shared" si="10"/>
        <v>0.041866218129975596</v>
      </c>
      <c r="F109" s="53">
        <f t="shared" si="7"/>
        <v>0.08548521648045782</v>
      </c>
      <c r="G109" s="53">
        <f t="shared" si="8"/>
        <v>0.13093037733049262</v>
      </c>
      <c r="H109" s="53">
        <f t="shared" si="9"/>
        <v>0.27900351836889015</v>
      </c>
      <c r="I109" s="174"/>
    </row>
    <row r="110" spans="1:9" ht="12.75">
      <c r="A110" s="175">
        <v>36220</v>
      </c>
      <c r="B110" s="175">
        <v>36233</v>
      </c>
      <c r="C110" s="176">
        <v>0.4099</v>
      </c>
      <c r="D110" s="177">
        <f t="shared" si="6"/>
        <v>0.61485</v>
      </c>
      <c r="E110" s="173">
        <f t="shared" si="10"/>
        <v>0.04074503806176821</v>
      </c>
      <c r="F110" s="53">
        <f t="shared" si="7"/>
        <v>0.0831502342501913</v>
      </c>
      <c r="G110" s="53">
        <f t="shared" si="8"/>
        <v>0.1272832317713284</v>
      </c>
      <c r="H110" s="53">
        <f t="shared" si="9"/>
        <v>0.27076748463281053</v>
      </c>
      <c r="I110" s="174"/>
    </row>
    <row r="111" spans="1:9" ht="12.75">
      <c r="A111" s="175">
        <v>36234</v>
      </c>
      <c r="B111" s="175">
        <v>36250</v>
      </c>
      <c r="C111" s="176">
        <v>0.3976</v>
      </c>
      <c r="D111" s="177">
        <f t="shared" si="6"/>
        <v>0.5964</v>
      </c>
      <c r="E111" s="173">
        <f t="shared" si="10"/>
        <v>0.03974891679783776</v>
      </c>
      <c r="F111" s="53">
        <f t="shared" si="7"/>
        <v>0.08107780998227687</v>
      </c>
      <c r="G111" s="53">
        <f t="shared" si="8"/>
        <v>0.12404948190325094</v>
      </c>
      <c r="H111" s="53">
        <f t="shared" si="9"/>
        <v>0.26348723776696703</v>
      </c>
      <c r="I111" s="174"/>
    </row>
    <row r="112" spans="1:9" ht="12.75">
      <c r="A112" s="8">
        <v>36251</v>
      </c>
      <c r="B112" s="8">
        <v>36280</v>
      </c>
      <c r="C112" s="88">
        <v>0.3357</v>
      </c>
      <c r="D112" s="4">
        <f t="shared" si="6"/>
        <v>0.5035499999999999</v>
      </c>
      <c r="E112" s="173">
        <f t="shared" si="10"/>
        <v>0.034569862160126474</v>
      </c>
      <c r="F112" s="53">
        <f t="shared" si="7"/>
        <v>0.07033479969002299</v>
      </c>
      <c r="G112" s="53">
        <f t="shared" si="8"/>
        <v>0.10733612618049371</v>
      </c>
      <c r="H112" s="53">
        <f t="shared" si="9"/>
        <v>0.2261932963444222</v>
      </c>
      <c r="I112" s="174"/>
    </row>
    <row r="113" spans="1:9" ht="12.75">
      <c r="A113" s="8">
        <v>36281</v>
      </c>
      <c r="B113" s="8">
        <v>36311</v>
      </c>
      <c r="C113" s="88">
        <v>0.3114</v>
      </c>
      <c r="D113" s="4">
        <f t="shared" si="6"/>
        <v>0.4671</v>
      </c>
      <c r="E113" s="173">
        <f t="shared" si="10"/>
        <v>0.03245621543647936</v>
      </c>
      <c r="F113" s="53">
        <f t="shared" si="7"/>
        <v>0.06596583679341794</v>
      </c>
      <c r="G113" s="53">
        <f t="shared" si="8"/>
        <v>0.10056305364031215</v>
      </c>
      <c r="H113" s="53">
        <f t="shared" si="9"/>
        <v>0.2112390350380886</v>
      </c>
      <c r="I113" s="174"/>
    </row>
    <row r="114" spans="1:9" ht="12.75">
      <c r="A114" s="8">
        <v>36312</v>
      </c>
      <c r="B114" s="8">
        <v>36341</v>
      </c>
      <c r="C114" s="88">
        <v>0.2746</v>
      </c>
      <c r="D114" s="4">
        <f t="shared" si="6"/>
        <v>0.41190000000000004</v>
      </c>
      <c r="E114" s="173">
        <f t="shared" si="10"/>
        <v>0.029161808634234454</v>
      </c>
      <c r="F114" s="53">
        <f t="shared" si="7"/>
        <v>0.05917402835128849</v>
      </c>
      <c r="G114" s="53">
        <f t="shared" si="8"/>
        <v>0.0900614586764199</v>
      </c>
      <c r="H114" s="53">
        <f t="shared" si="9"/>
        <v>0.18823398369176436</v>
      </c>
      <c r="I114" s="174"/>
    </row>
    <row r="115" spans="1:9" ht="12.75">
      <c r="A115" s="8">
        <v>36342</v>
      </c>
      <c r="B115" s="8">
        <v>36372</v>
      </c>
      <c r="C115" s="92">
        <v>0.2422</v>
      </c>
      <c r="D115" s="4">
        <f t="shared" si="6"/>
        <v>0.3633</v>
      </c>
      <c r="E115" s="173">
        <f t="shared" si="10"/>
        <v>0.02616205840175878</v>
      </c>
      <c r="F115" s="53">
        <f t="shared" si="7"/>
        <v>0.053008570103334485</v>
      </c>
      <c r="G115" s="53">
        <f t="shared" si="8"/>
        <v>0.08055744181193059</v>
      </c>
      <c r="H115" s="53">
        <f t="shared" si="9"/>
        <v>0.16760438505514363</v>
      </c>
      <c r="I115" s="174"/>
    </row>
    <row r="116" spans="1:9" ht="12.75">
      <c r="A116" s="8">
        <v>36373</v>
      </c>
      <c r="B116" s="8">
        <v>36403</v>
      </c>
      <c r="C116" s="92">
        <v>0.2625</v>
      </c>
      <c r="D116" s="4">
        <f t="shared" si="6"/>
        <v>0.39375000000000004</v>
      </c>
      <c r="E116" s="173">
        <f t="shared" si="10"/>
        <v>0.028052767894414243</v>
      </c>
      <c r="F116" s="53">
        <f t="shared" si="7"/>
        <v>0.0568924935753663</v>
      </c>
      <c r="G116" s="53">
        <f t="shared" si="8"/>
        <v>0.0865412533869847</v>
      </c>
      <c r="H116" s="53">
        <f t="shared" si="9"/>
        <v>0.18057189531175943</v>
      </c>
      <c r="I116" s="174"/>
    </row>
    <row r="117" spans="1:9" ht="12.75">
      <c r="A117" s="8">
        <v>36404</v>
      </c>
      <c r="B117" s="8">
        <v>36433</v>
      </c>
      <c r="C117" s="88">
        <v>0.2601</v>
      </c>
      <c r="D117" s="4">
        <f t="shared" si="6"/>
        <v>0.39015</v>
      </c>
      <c r="E117" s="173">
        <f t="shared" si="10"/>
        <v>0.02783122059100851</v>
      </c>
      <c r="F117" s="53">
        <f t="shared" si="7"/>
        <v>0.0564370180216025</v>
      </c>
      <c r="G117" s="53">
        <f t="shared" si="8"/>
        <v>0.08583894971066885</v>
      </c>
      <c r="H117" s="53">
        <f t="shared" si="9"/>
        <v>0.17904622470876852</v>
      </c>
      <c r="I117" s="174"/>
    </row>
    <row r="118" spans="1:9" ht="12.75">
      <c r="A118" s="8">
        <v>36434</v>
      </c>
      <c r="B118" s="8">
        <v>36464</v>
      </c>
      <c r="C118" s="88">
        <v>0.2696</v>
      </c>
      <c r="D118" s="4">
        <f t="shared" si="6"/>
        <v>0.4044</v>
      </c>
      <c r="E118" s="173">
        <f t="shared" si="10"/>
        <v>0.028705120834537468</v>
      </c>
      <c r="F118" s="53">
        <f t="shared" si="7"/>
        <v>0.05823422563120029</v>
      </c>
      <c r="G118" s="53">
        <f t="shared" si="8"/>
        <v>0.08861096694918702</v>
      </c>
      <c r="H118" s="53">
        <f t="shared" si="9"/>
        <v>0.18507383736204375</v>
      </c>
      <c r="I118" s="174"/>
    </row>
    <row r="119" spans="1:9" ht="12.75">
      <c r="A119" s="8">
        <v>36465</v>
      </c>
      <c r="B119" s="8">
        <v>36494</v>
      </c>
      <c r="C119" s="88">
        <v>0.257</v>
      </c>
      <c r="D119" s="4">
        <f t="shared" si="6"/>
        <v>0.3855</v>
      </c>
      <c r="E119" s="173">
        <f t="shared" si="10"/>
        <v>0.02754427564307793</v>
      </c>
      <c r="F119" s="53">
        <f t="shared" si="7"/>
        <v>0.05584723840685757</v>
      </c>
      <c r="G119" s="53">
        <f t="shared" si="8"/>
        <v>0.08492978577851873</v>
      </c>
      <c r="H119" s="53">
        <f t="shared" si="9"/>
        <v>0.17707264006942247</v>
      </c>
      <c r="I119" s="174"/>
    </row>
    <row r="120" spans="1:9" ht="12.75">
      <c r="A120" s="8">
        <v>36495</v>
      </c>
      <c r="B120" s="8">
        <v>36525</v>
      </c>
      <c r="C120" s="88">
        <v>0.2422</v>
      </c>
      <c r="D120" s="4">
        <f t="shared" si="6"/>
        <v>0.3633</v>
      </c>
      <c r="E120" s="173">
        <f t="shared" si="10"/>
        <v>0.02616205840175878</v>
      </c>
      <c r="F120" s="53">
        <f t="shared" si="7"/>
        <v>0.053008570103334485</v>
      </c>
      <c r="G120" s="53">
        <f t="shared" si="8"/>
        <v>0.08055744181193059</v>
      </c>
      <c r="H120" s="53">
        <f t="shared" si="9"/>
        <v>0.16760438505514363</v>
      </c>
      <c r="I120" s="174"/>
    </row>
    <row r="121" spans="1:9" ht="12.75">
      <c r="A121" s="8">
        <v>36526</v>
      </c>
      <c r="B121" s="8">
        <v>36556</v>
      </c>
      <c r="C121" s="88">
        <v>0.224</v>
      </c>
      <c r="D121" s="4">
        <f t="shared" si="6"/>
        <v>0.336</v>
      </c>
      <c r="E121" s="173">
        <f t="shared" si="10"/>
        <v>0.024433734986121447</v>
      </c>
      <c r="F121" s="53">
        <f t="shared" si="7"/>
        <v>0.049464477377614946</v>
      </c>
      <c r="G121" s="53">
        <f t="shared" si="8"/>
        <v>0.07510681429520827</v>
      </c>
      <c r="H121" s="53">
        <f t="shared" si="9"/>
        <v>0.15585466214399113</v>
      </c>
      <c r="I121" s="174"/>
    </row>
    <row r="122" spans="1:9" ht="12.75">
      <c r="A122" s="8">
        <v>36557</v>
      </c>
      <c r="B122" s="8">
        <v>36585</v>
      </c>
      <c r="C122" s="88">
        <v>0.1946</v>
      </c>
      <c r="D122" s="4">
        <f t="shared" si="6"/>
        <v>0.2919</v>
      </c>
      <c r="E122" s="173">
        <f t="shared" si="10"/>
        <v>0.021572220872975834</v>
      </c>
      <c r="F122" s="53">
        <f t="shared" si="7"/>
        <v>0.043609802459344316</v>
      </c>
      <c r="G122" s="53">
        <f t="shared" si="8"/>
        <v>0.06612278362320012</v>
      </c>
      <c r="H122" s="53">
        <f t="shared" si="9"/>
        <v>0.13661778976048056</v>
      </c>
      <c r="I122" s="174"/>
    </row>
    <row r="123" spans="1:9" ht="12.75">
      <c r="A123" s="8">
        <v>36586</v>
      </c>
      <c r="B123" s="8">
        <v>36616</v>
      </c>
      <c r="C123" s="88">
        <v>0.1745</v>
      </c>
      <c r="D123" s="4">
        <f t="shared" si="6"/>
        <v>0.26175</v>
      </c>
      <c r="E123" s="173">
        <f t="shared" si="10"/>
        <v>0.019563883348914013</v>
      </c>
      <c r="F123" s="53">
        <f t="shared" si="7"/>
        <v>0.03951051222951785</v>
      </c>
      <c r="G123" s="53">
        <f t="shared" si="8"/>
        <v>0.059847374630745964</v>
      </c>
      <c r="H123" s="53">
        <f t="shared" si="9"/>
        <v>0.12327645751168492</v>
      </c>
      <c r="I123" s="174"/>
    </row>
    <row r="124" spans="1:9" ht="12.75">
      <c r="A124" s="8">
        <v>36617</v>
      </c>
      <c r="B124" s="8">
        <v>36646</v>
      </c>
      <c r="C124" s="88">
        <v>0.1787</v>
      </c>
      <c r="D124" s="4">
        <f t="shared" si="6"/>
        <v>0.26805</v>
      </c>
      <c r="E124" s="173">
        <f t="shared" si="10"/>
        <v>0.019987144669119328</v>
      </c>
      <c r="F124" s="53">
        <f t="shared" si="7"/>
        <v>0.04037377529026287</v>
      </c>
      <c r="G124" s="53">
        <f t="shared" si="8"/>
        <v>0.06116787644694721</v>
      </c>
      <c r="H124" s="53">
        <f t="shared" si="9"/>
        <v>0.12607726200292313</v>
      </c>
      <c r="I124" s="174"/>
    </row>
    <row r="125" spans="1:9" ht="12.75">
      <c r="A125" s="8">
        <v>36647</v>
      </c>
      <c r="B125" s="8">
        <v>36677</v>
      </c>
      <c r="C125" s="88">
        <v>0.179</v>
      </c>
      <c r="D125" s="4">
        <f t="shared" si="6"/>
        <v>0.26849999999999996</v>
      </c>
      <c r="E125" s="173">
        <f t="shared" si="10"/>
        <v>0.020017303809532372</v>
      </c>
      <c r="F125" s="53">
        <f t="shared" si="7"/>
        <v>0.04043530007086793</v>
      </c>
      <c r="G125" s="53">
        <f t="shared" si="8"/>
        <v>0.06126200956654837</v>
      </c>
      <c r="H125" s="53">
        <f t="shared" si="9"/>
        <v>0.12627705294922875</v>
      </c>
      <c r="I125" s="174"/>
    </row>
    <row r="126" spans="1:9" ht="12.75">
      <c r="A126" s="8">
        <v>36678</v>
      </c>
      <c r="B126" s="8">
        <v>36707</v>
      </c>
      <c r="C126" s="88">
        <v>0.1977</v>
      </c>
      <c r="D126" s="4">
        <f t="shared" si="6"/>
        <v>0.29655</v>
      </c>
      <c r="E126" s="173">
        <f t="shared" si="10"/>
        <v>0.021878132850398968</v>
      </c>
      <c r="F126" s="53">
        <f t="shared" si="7"/>
        <v>0.04423491839781746</v>
      </c>
      <c r="G126" s="53">
        <f t="shared" si="8"/>
        <v>0.06708082866955034</v>
      </c>
      <c r="H126" s="53">
        <f t="shared" si="9"/>
        <v>0.1386614949140943</v>
      </c>
      <c r="I126" s="174"/>
    </row>
    <row r="127" spans="1:9" ht="12.75">
      <c r="A127" s="8">
        <v>36708</v>
      </c>
      <c r="B127" s="8">
        <v>36738</v>
      </c>
      <c r="C127" s="88">
        <v>0.1944</v>
      </c>
      <c r="D127" s="4">
        <f t="shared" si="6"/>
        <v>0.29159999999999997</v>
      </c>
      <c r="E127" s="173">
        <f t="shared" si="10"/>
        <v>0.021552449974195476</v>
      </c>
      <c r="F127" s="53">
        <f t="shared" si="7"/>
        <v>0.04356940804828113</v>
      </c>
      <c r="G127" s="53">
        <f t="shared" si="8"/>
        <v>0.06606088550984257</v>
      </c>
      <c r="H127" s="53">
        <f t="shared" si="9"/>
        <v>0.13648581161402973</v>
      </c>
      <c r="I127" s="174"/>
    </row>
    <row r="128" spans="1:9" ht="12.75">
      <c r="A128" s="8">
        <v>36739</v>
      </c>
      <c r="B128" s="8">
        <v>36769</v>
      </c>
      <c r="C128" s="88">
        <v>0.1992</v>
      </c>
      <c r="D128" s="4">
        <f t="shared" si="6"/>
        <v>0.29879999999999995</v>
      </c>
      <c r="E128" s="173">
        <f t="shared" si="10"/>
        <v>0.022025793890954715</v>
      </c>
      <c r="F128" s="53">
        <f t="shared" si="7"/>
        <v>0.044536723378436394</v>
      </c>
      <c r="G128" s="53">
        <f t="shared" si="8"/>
        <v>0.06754347395910298</v>
      </c>
      <c r="H128" s="53">
        <f t="shared" si="9"/>
        <v>0.13964906879267014</v>
      </c>
      <c r="I128" s="174"/>
    </row>
    <row r="129" spans="1:9" ht="12.75">
      <c r="A129" s="8">
        <v>36770</v>
      </c>
      <c r="B129" s="8">
        <v>36799</v>
      </c>
      <c r="C129" s="88">
        <v>0.2293</v>
      </c>
      <c r="D129" s="4">
        <f t="shared" si="6"/>
        <v>0.34395</v>
      </c>
      <c r="E129" s="173">
        <f t="shared" si="10"/>
        <v>0.024940354247332097</v>
      </c>
      <c r="F129" s="53">
        <f t="shared" si="7"/>
        <v>0.05050272976464676</v>
      </c>
      <c r="G129" s="53">
        <f t="shared" si="8"/>
        <v>0.07670263998276639</v>
      </c>
      <c r="H129" s="53">
        <f t="shared" si="9"/>
        <v>0.1592885749458588</v>
      </c>
      <c r="I129" s="174"/>
    </row>
    <row r="130" spans="1:9" ht="12.75">
      <c r="A130" s="8">
        <v>36800</v>
      </c>
      <c r="B130" s="8">
        <v>36830</v>
      </c>
      <c r="C130" s="88">
        <v>0.2308</v>
      </c>
      <c r="D130" s="4">
        <f t="shared" si="6"/>
        <v>0.3462</v>
      </c>
      <c r="E130" s="173">
        <f t="shared" si="10"/>
        <v>0.025083238291942367</v>
      </c>
      <c r="F130" s="53">
        <f t="shared" si="7"/>
        <v>0.050795645427095026</v>
      </c>
      <c r="G130" s="53">
        <f t="shared" si="8"/>
        <v>0.07715300299747829</v>
      </c>
      <c r="H130" s="53">
        <f t="shared" si="9"/>
        <v>0.1602585918664856</v>
      </c>
      <c r="I130" s="174"/>
    </row>
    <row r="131" spans="1:9" ht="12.75">
      <c r="A131" s="8">
        <v>36831</v>
      </c>
      <c r="B131" s="8">
        <v>36860</v>
      </c>
      <c r="C131" s="88">
        <v>0.238</v>
      </c>
      <c r="D131" s="4">
        <f t="shared" si="6"/>
        <v>0.357</v>
      </c>
      <c r="E131" s="173">
        <f t="shared" si="10"/>
        <v>0.025766049075942155</v>
      </c>
      <c r="F131" s="53">
        <f t="shared" si="7"/>
        <v>0.05219598743686804</v>
      </c>
      <c r="G131" s="53">
        <f t="shared" si="8"/>
        <v>0.07930692088667568</v>
      </c>
      <c r="H131" s="53">
        <f t="shared" si="9"/>
        <v>0.16490342947387693</v>
      </c>
      <c r="I131" s="174"/>
    </row>
    <row r="132" spans="1:9" ht="12.75">
      <c r="A132" s="8">
        <v>36861</v>
      </c>
      <c r="B132" s="8">
        <v>36891</v>
      </c>
      <c r="C132" s="88">
        <v>0.2369</v>
      </c>
      <c r="D132" s="4">
        <f t="shared" si="6"/>
        <v>0.35535</v>
      </c>
      <c r="E132" s="173">
        <f t="shared" si="10"/>
        <v>0.025662053869310197</v>
      </c>
      <c r="F132" s="53">
        <f t="shared" si="7"/>
        <v>0.051982648747411764</v>
      </c>
      <c r="G132" s="53">
        <f t="shared" si="8"/>
        <v>0.07897868414914733</v>
      </c>
      <c r="H132" s="53">
        <f t="shared" si="9"/>
        <v>0.16419500084822558</v>
      </c>
      <c r="I132" s="174"/>
    </row>
    <row r="133" spans="1:9" ht="12.75">
      <c r="A133" s="8">
        <v>36892</v>
      </c>
      <c r="B133" s="8">
        <v>36922</v>
      </c>
      <c r="C133" s="88">
        <v>0.2416</v>
      </c>
      <c r="D133" s="4">
        <f t="shared" si="6"/>
        <v>0.3624</v>
      </c>
      <c r="E133" s="173">
        <f t="shared" si="10"/>
        <v>0.026105588475108465</v>
      </c>
      <c r="F133" s="53">
        <f t="shared" si="7"/>
        <v>0.052892678699848705</v>
      </c>
      <c r="G133" s="53">
        <f t="shared" si="8"/>
        <v>0.08037906167844167</v>
      </c>
      <c r="H133" s="53">
        <f t="shared" si="9"/>
        <v>0.1672189169131899</v>
      </c>
      <c r="I133" s="174"/>
    </row>
    <row r="134" spans="1:9" ht="12.75">
      <c r="A134" s="8">
        <v>36923</v>
      </c>
      <c r="B134" s="8">
        <v>36950</v>
      </c>
      <c r="C134" s="88">
        <v>0.2603</v>
      </c>
      <c r="D134" s="4">
        <f t="shared" si="6"/>
        <v>0.39044999999999996</v>
      </c>
      <c r="E134" s="173">
        <f t="shared" si="10"/>
        <v>0.027849702941323606</v>
      </c>
      <c r="F134" s="53">
        <f t="shared" si="7"/>
        <v>0.056475011836567335</v>
      </c>
      <c r="G134" s="53">
        <f t="shared" si="8"/>
        <v>0.08589752708114728</v>
      </c>
      <c r="H134" s="53">
        <f t="shared" si="9"/>
        <v>0.17917343932095076</v>
      </c>
      <c r="I134" s="174"/>
    </row>
    <row r="135" spans="1:9" ht="12.75">
      <c r="A135" s="8">
        <v>36951</v>
      </c>
      <c r="B135" s="8">
        <v>36981</v>
      </c>
      <c r="C135" s="88">
        <v>0.2511</v>
      </c>
      <c r="D135" s="4">
        <f t="shared" si="6"/>
        <v>0.37665</v>
      </c>
      <c r="E135" s="173">
        <f t="shared" si="10"/>
        <v>0.026995707177810413</v>
      </c>
      <c r="F135" s="53">
        <f t="shared" si="7"/>
        <v>0.05472018256165079</v>
      </c>
      <c r="G135" s="53">
        <f t="shared" si="8"/>
        <v>0.08319309976461176</v>
      </c>
      <c r="H135" s="53">
        <f t="shared" si="9"/>
        <v>0.1733072913776681</v>
      </c>
      <c r="I135" s="174"/>
    </row>
    <row r="136" spans="1:9" ht="12.75">
      <c r="A136" s="8">
        <v>36982</v>
      </c>
      <c r="B136" s="8">
        <v>37011</v>
      </c>
      <c r="C136" s="88">
        <v>0.2483</v>
      </c>
      <c r="D136" s="4">
        <f t="shared" si="6"/>
        <v>0.37245</v>
      </c>
      <c r="E136" s="173">
        <f t="shared" si="10"/>
        <v>0.026734237592840993</v>
      </c>
      <c r="F136" s="53">
        <f t="shared" si="7"/>
        <v>0.054183194645352595</v>
      </c>
      <c r="G136" s="53">
        <f t="shared" si="8"/>
        <v>0.08236597863738182</v>
      </c>
      <c r="H136" s="53">
        <f t="shared" si="9"/>
        <v>0.17151611171165704</v>
      </c>
      <c r="I136" s="174"/>
    </row>
    <row r="137" spans="1:9" ht="12.75">
      <c r="A137" s="8">
        <v>37012</v>
      </c>
      <c r="B137" s="8">
        <v>37042</v>
      </c>
      <c r="C137" s="88">
        <v>0.2424</v>
      </c>
      <c r="D137" s="4">
        <f t="shared" si="6"/>
        <v>0.36360000000000003</v>
      </c>
      <c r="E137" s="173">
        <f t="shared" si="10"/>
        <v>0.026180874116863206</v>
      </c>
      <c r="F137" s="53">
        <f t="shared" si="7"/>
        <v>0.05304718640324957</v>
      </c>
      <c r="G137" s="53">
        <f t="shared" si="8"/>
        <v>0.08061688222959007</v>
      </c>
      <c r="H137" s="53">
        <f t="shared" si="9"/>
        <v>0.16773284615959994</v>
      </c>
      <c r="I137" s="174"/>
    </row>
    <row r="138" spans="1:9" ht="12.75">
      <c r="A138" s="8">
        <v>37043</v>
      </c>
      <c r="B138" s="8">
        <v>37072</v>
      </c>
      <c r="C138" s="88">
        <v>0.2517</v>
      </c>
      <c r="D138" s="4">
        <f t="shared" si="6"/>
        <v>0.37754999999999994</v>
      </c>
      <c r="E138" s="173">
        <f t="shared" si="10"/>
        <v>0.027051641226381706</v>
      </c>
      <c r="F138" s="53">
        <f t="shared" si="7"/>
        <v>0.05483507374580454</v>
      </c>
      <c r="G138" s="53">
        <f t="shared" si="8"/>
        <v>0.08337009371378001</v>
      </c>
      <c r="H138" s="53">
        <f t="shared" si="9"/>
        <v>0.17369075995340433</v>
      </c>
      <c r="I138" s="174"/>
    </row>
    <row r="139" spans="1:9" ht="12.75">
      <c r="A139" s="8">
        <v>37073</v>
      </c>
      <c r="B139" s="8">
        <v>37103</v>
      </c>
      <c r="C139" s="88">
        <v>0.2608</v>
      </c>
      <c r="D139" s="4">
        <f t="shared" si="6"/>
        <v>0.3912</v>
      </c>
      <c r="E139" s="173">
        <f t="shared" si="10"/>
        <v>0.027895892829637337</v>
      </c>
      <c r="F139" s="53">
        <f t="shared" si="7"/>
        <v>0.056569966496037294</v>
      </c>
      <c r="G139" s="53">
        <f t="shared" si="8"/>
        <v>0.08604392904842406</v>
      </c>
      <c r="H139" s="53">
        <f t="shared" si="9"/>
        <v>0.1794914158229386</v>
      </c>
      <c r="I139" s="174"/>
    </row>
    <row r="140" spans="1:9" ht="12.75">
      <c r="A140" s="8">
        <v>37104</v>
      </c>
      <c r="B140" s="8">
        <v>37134</v>
      </c>
      <c r="C140" s="88">
        <v>0.2425</v>
      </c>
      <c r="D140" s="4">
        <f t="shared" si="6"/>
        <v>0.36375</v>
      </c>
      <c r="E140" s="173">
        <f t="shared" si="10"/>
        <v>0.026190280551482648</v>
      </c>
      <c r="F140" s="53">
        <f t="shared" si="7"/>
        <v>0.05306649189833057</v>
      </c>
      <c r="G140" s="53">
        <f t="shared" si="8"/>
        <v>0.08064659876051361</v>
      </c>
      <c r="H140" s="53">
        <f t="shared" si="9"/>
        <v>0.1677970714126662</v>
      </c>
      <c r="I140" s="174"/>
    </row>
    <row r="141" spans="1:9" ht="12.75">
      <c r="A141" s="8">
        <v>37135</v>
      </c>
      <c r="B141" s="8">
        <v>37164</v>
      </c>
      <c r="C141" s="88">
        <v>0.2306</v>
      </c>
      <c r="D141" s="4">
        <f t="shared" si="6"/>
        <v>0.3459</v>
      </c>
      <c r="E141" s="173">
        <f t="shared" si="10"/>
        <v>0.025064199739822657</v>
      </c>
      <c r="F141" s="53">
        <f t="shared" si="7"/>
        <v>0.05075661358824313</v>
      </c>
      <c r="G141" s="53">
        <f t="shared" si="8"/>
        <v>0.07709298722915836</v>
      </c>
      <c r="H141" s="53">
        <f t="shared" si="9"/>
        <v>0.16012930313823204</v>
      </c>
      <c r="I141" s="174"/>
    </row>
    <row r="142" spans="1:9" ht="12.75">
      <c r="A142" s="8">
        <v>37165</v>
      </c>
      <c r="B142" s="8">
        <v>37195</v>
      </c>
      <c r="C142" s="88">
        <v>0.2322</v>
      </c>
      <c r="D142" s="4">
        <f t="shared" si="6"/>
        <v>0.3483</v>
      </c>
      <c r="E142" s="173">
        <f t="shared" si="10"/>
        <v>0.025216399364027087</v>
      </c>
      <c r="F142" s="53">
        <f t="shared" si="7"/>
        <v>0.05106866552494016</v>
      </c>
      <c r="G142" s="53">
        <f t="shared" si="8"/>
        <v>0.07757283275383209</v>
      </c>
      <c r="H142" s="53">
        <f t="shared" si="9"/>
        <v>0.16116320988911803</v>
      </c>
      <c r="I142" s="174"/>
    </row>
    <row r="143" spans="1:10" ht="12.75">
      <c r="A143" s="8">
        <v>37196</v>
      </c>
      <c r="B143" s="8">
        <v>37225</v>
      </c>
      <c r="C143" s="88">
        <v>0.2298</v>
      </c>
      <c r="D143" s="4">
        <f t="shared" si="6"/>
        <v>0.3447</v>
      </c>
      <c r="E143" s="173">
        <f t="shared" si="10"/>
        <v>0.024988006610359603</v>
      </c>
      <c r="F143" s="53">
        <f t="shared" si="7"/>
        <v>0.050600413695078617</v>
      </c>
      <c r="G143" s="53">
        <f t="shared" si="8"/>
        <v>0.0768528237773376</v>
      </c>
      <c r="H143" s="53">
        <f t="shared" si="9"/>
        <v>0.15961200407722576</v>
      </c>
      <c r="I143" s="174"/>
      <c r="J143" s="178"/>
    </row>
    <row r="144" spans="1:9" ht="12.75">
      <c r="A144" s="8">
        <v>37226</v>
      </c>
      <c r="B144" s="8">
        <v>37256</v>
      </c>
      <c r="C144" s="88">
        <v>0.2248</v>
      </c>
      <c r="D144" s="4">
        <f t="shared" si="6"/>
        <v>0.3372</v>
      </c>
      <c r="E144" s="173">
        <f t="shared" si="10"/>
        <v>0.02451038260898053</v>
      </c>
      <c r="F144" s="53">
        <f t="shared" si="7"/>
        <v>0.049621524073599765</v>
      </c>
      <c r="G144" s="53">
        <f t="shared" si="8"/>
        <v>0.07534814922326483</v>
      </c>
      <c r="H144" s="53">
        <f t="shared" si="9"/>
        <v>0.15637364203790116</v>
      </c>
      <c r="I144" s="174"/>
    </row>
    <row r="145" spans="1:9" ht="12.75">
      <c r="A145" s="8">
        <v>37257</v>
      </c>
      <c r="B145" s="8">
        <v>37287</v>
      </c>
      <c r="C145" s="88">
        <v>0.2281</v>
      </c>
      <c r="D145" s="4">
        <f aca="true" t="shared" si="11" ref="D145:D208">IF(C145="","",C145*1.5)</f>
        <v>0.34215</v>
      </c>
      <c r="E145" s="173">
        <f t="shared" si="10"/>
        <v>0.024825889044176153</v>
      </c>
      <c r="F145" s="53">
        <f t="shared" si="7"/>
        <v>0.050268102855186125</v>
      </c>
      <c r="G145" s="53">
        <f t="shared" si="8"/>
        <v>0.07634194224330648</v>
      </c>
      <c r="H145" s="53">
        <f t="shared" si="9"/>
        <v>0.15851197663209327</v>
      </c>
      <c r="I145" s="174"/>
    </row>
    <row r="146" spans="1:9" ht="12.75">
      <c r="A146" s="8">
        <v>37288</v>
      </c>
      <c r="B146" s="8">
        <v>37315</v>
      </c>
      <c r="C146" s="88">
        <v>0.2235</v>
      </c>
      <c r="D146" s="4">
        <f t="shared" si="11"/>
        <v>0.33525</v>
      </c>
      <c r="E146" s="173">
        <f t="shared" si="10"/>
        <v>0.024385798168465422</v>
      </c>
      <c r="F146" s="53">
        <f aca="true" t="shared" si="12" ref="F146:F209">IF(D146="","",POWER((1+D146),(1/6))-1)</f>
        <v>0.04936626348924422</v>
      </c>
      <c r="G146" s="53">
        <f aca="true" t="shared" si="13" ref="G146:G209">IF(D146="","",POWER((1+D146),(1/4))-1)</f>
        <v>0.07495589739548958</v>
      </c>
      <c r="H146" s="53">
        <f aca="true" t="shared" si="14" ref="H146:H209">IF(D146="","",POWER((1+D146),(1/2))-1)</f>
        <v>0.15553018134534247</v>
      </c>
      <c r="I146" s="179"/>
    </row>
    <row r="147" spans="1:9" ht="12.75">
      <c r="A147" s="8">
        <v>37316</v>
      </c>
      <c r="B147" s="8">
        <v>37346</v>
      </c>
      <c r="C147" s="180">
        <v>0.2097</v>
      </c>
      <c r="D147" s="4">
        <f t="shared" si="11"/>
        <v>0.31455</v>
      </c>
      <c r="E147" s="173">
        <f t="shared" si="10"/>
        <v>0.023052903946530368</v>
      </c>
      <c r="F147" s="53">
        <f t="shared" si="12"/>
        <v>0.04663724427342886</v>
      </c>
      <c r="G147" s="53">
        <f t="shared" si="13"/>
        <v>0.07076527213252559</v>
      </c>
      <c r="H147" s="53">
        <f t="shared" si="14"/>
        <v>0.14653826800504133</v>
      </c>
      <c r="I147" s="181"/>
    </row>
    <row r="148" spans="1:9" ht="12.75">
      <c r="A148" s="8">
        <v>37347</v>
      </c>
      <c r="B148" s="8">
        <v>37376</v>
      </c>
      <c r="C148" s="180">
        <v>0.2103</v>
      </c>
      <c r="D148" s="4">
        <f t="shared" si="11"/>
        <v>0.31545</v>
      </c>
      <c r="E148" s="173">
        <f t="shared" si="10"/>
        <v>0.02311125463772523</v>
      </c>
      <c r="F148" s="53">
        <f t="shared" si="12"/>
        <v>0.046756639366380526</v>
      </c>
      <c r="G148" s="53">
        <f t="shared" si="13"/>
        <v>0.0709484986025064</v>
      </c>
      <c r="H148" s="53">
        <f t="shared" si="14"/>
        <v>0.1469306866589628</v>
      </c>
      <c r="I148" s="181"/>
    </row>
    <row r="149" spans="1:9" ht="12.75">
      <c r="A149" s="8">
        <v>37377</v>
      </c>
      <c r="B149" s="8">
        <v>37407</v>
      </c>
      <c r="C149" s="180">
        <v>0.2</v>
      </c>
      <c r="D149" s="4">
        <f t="shared" si="11"/>
        <v>0.30000000000000004</v>
      </c>
      <c r="E149" s="173">
        <f t="shared" si="10"/>
        <v>0.022104450593615876</v>
      </c>
      <c r="F149" s="53">
        <f t="shared" si="12"/>
        <v>0.0446975079232772</v>
      </c>
      <c r="G149" s="53">
        <f t="shared" si="13"/>
        <v>0.06778997237244089</v>
      </c>
      <c r="H149" s="53">
        <f t="shared" si="14"/>
        <v>0.14017542509913805</v>
      </c>
      <c r="I149" s="181"/>
    </row>
    <row r="150" spans="1:9" ht="12.75">
      <c r="A150" s="8">
        <v>37408</v>
      </c>
      <c r="B150" s="8">
        <v>37437</v>
      </c>
      <c r="C150" s="180">
        <v>0.1996</v>
      </c>
      <c r="D150" s="4">
        <f t="shared" si="11"/>
        <v>0.2994</v>
      </c>
      <c r="E150" s="173">
        <f t="shared" si="10"/>
        <v>0.022065130565586122</v>
      </c>
      <c r="F150" s="53">
        <f t="shared" si="12"/>
        <v>0.04461713111804855</v>
      </c>
      <c r="G150" s="53">
        <f t="shared" si="13"/>
        <v>0.0676667445072161</v>
      </c>
      <c r="H150" s="53">
        <f t="shared" si="14"/>
        <v>0.13991227732663702</v>
      </c>
      <c r="I150" s="181"/>
    </row>
    <row r="151" spans="1:9" ht="12.75">
      <c r="A151" s="8">
        <v>37438</v>
      </c>
      <c r="B151" s="8">
        <v>37468</v>
      </c>
      <c r="C151" s="180">
        <v>0.1977</v>
      </c>
      <c r="D151" s="4">
        <f t="shared" si="11"/>
        <v>0.29655</v>
      </c>
      <c r="E151" s="173">
        <f t="shared" si="10"/>
        <v>0.021878132850398968</v>
      </c>
      <c r="F151" s="53">
        <f t="shared" si="12"/>
        <v>0.04423491839781746</v>
      </c>
      <c r="G151" s="53">
        <f t="shared" si="13"/>
        <v>0.06708082866955034</v>
      </c>
      <c r="H151" s="53">
        <f t="shared" si="14"/>
        <v>0.1386614949140943</v>
      </c>
      <c r="I151" s="181"/>
    </row>
    <row r="152" spans="1:9" ht="12.75">
      <c r="A152" s="8">
        <v>37469</v>
      </c>
      <c r="B152" s="8">
        <v>37499</v>
      </c>
      <c r="C152" s="180">
        <v>0.2001</v>
      </c>
      <c r="D152" s="4">
        <f t="shared" si="11"/>
        <v>0.30015000000000003</v>
      </c>
      <c r="E152" s="173">
        <f t="shared" si="10"/>
        <v>0.02211427800131749</v>
      </c>
      <c r="F152" s="53">
        <f t="shared" si="12"/>
        <v>0.044717597294154476</v>
      </c>
      <c r="G152" s="53">
        <f t="shared" si="13"/>
        <v>0.067820772673586</v>
      </c>
      <c r="H152" s="53">
        <f t="shared" si="14"/>
        <v>0.14024120255321404</v>
      </c>
      <c r="I152" s="181"/>
    </row>
    <row r="153" spans="1:9" ht="12.75">
      <c r="A153" s="8">
        <v>37500</v>
      </c>
      <c r="B153" s="8">
        <v>37529</v>
      </c>
      <c r="C153" s="180">
        <v>0.2018</v>
      </c>
      <c r="D153" s="4">
        <f t="shared" si="11"/>
        <v>0.3027</v>
      </c>
      <c r="E153" s="173">
        <f t="shared" si="10"/>
        <v>0.02228118511234456</v>
      </c>
      <c r="F153" s="53">
        <f t="shared" si="12"/>
        <v>0.04505882143469986</v>
      </c>
      <c r="G153" s="53">
        <f t="shared" si="13"/>
        <v>0.06834397048837504</v>
      </c>
      <c r="H153" s="53">
        <f t="shared" si="14"/>
        <v>0.14135883927886583</v>
      </c>
      <c r="I153" s="181"/>
    </row>
    <row r="154" spans="1:9" ht="12.75">
      <c r="A154" s="8">
        <v>37530</v>
      </c>
      <c r="B154" s="8">
        <v>37560</v>
      </c>
      <c r="C154" s="180">
        <v>0.203</v>
      </c>
      <c r="D154" s="4">
        <f t="shared" si="11"/>
        <v>0.3045</v>
      </c>
      <c r="E154" s="173">
        <f t="shared" si="10"/>
        <v>0.02239882167624807</v>
      </c>
      <c r="F154" s="53">
        <f t="shared" si="12"/>
        <v>0.0452993505649808</v>
      </c>
      <c r="G154" s="53">
        <f t="shared" si="13"/>
        <v>0.06871282431658376</v>
      </c>
      <c r="H154" s="53">
        <f t="shared" si="14"/>
        <v>0.14214710085872917</v>
      </c>
      <c r="I154" s="181"/>
    </row>
    <row r="155" spans="1:9" ht="12.75">
      <c r="A155" s="8">
        <v>37561</v>
      </c>
      <c r="B155" s="8">
        <v>37590</v>
      </c>
      <c r="C155" s="180">
        <v>0.1976</v>
      </c>
      <c r="D155" s="4">
        <f t="shared" si="11"/>
        <v>0.2964</v>
      </c>
      <c r="E155" s="173">
        <f>IF(D155="","",POWER((1+D155),(1/12))-1)</f>
        <v>0.021868280431264653</v>
      </c>
      <c r="F155" s="53">
        <f t="shared" si="12"/>
        <v>0.044214782551549536</v>
      </c>
      <c r="G155" s="53">
        <f t="shared" si="13"/>
        <v>0.06704996424685872</v>
      </c>
      <c r="H155" s="53">
        <f t="shared" si="14"/>
        <v>0.13859562619922272</v>
      </c>
      <c r="I155" s="181"/>
    </row>
    <row r="156" spans="1:9" ht="12.75">
      <c r="A156" s="8">
        <v>37591</v>
      </c>
      <c r="B156" s="8">
        <v>37621</v>
      </c>
      <c r="C156" s="180">
        <v>0.1969</v>
      </c>
      <c r="D156" s="4">
        <f t="shared" si="11"/>
        <v>0.29535</v>
      </c>
      <c r="E156" s="173">
        <f>IF(D156="","",POWER((1+D156),(1/12))-1)</f>
        <v>0.02179928422344246</v>
      </c>
      <c r="F156" s="53">
        <f t="shared" si="12"/>
        <v>0.044073777239539424</v>
      </c>
      <c r="G156" s="53">
        <f t="shared" si="13"/>
        <v>0.06683383825982747</v>
      </c>
      <c r="H156" s="53">
        <f t="shared" si="14"/>
        <v>0.13813443845619577</v>
      </c>
      <c r="I156" s="181"/>
    </row>
    <row r="157" spans="1:9" ht="12.75">
      <c r="A157" s="8">
        <v>37622</v>
      </c>
      <c r="B157" s="8">
        <v>37652</v>
      </c>
      <c r="C157" s="180">
        <v>0.1964</v>
      </c>
      <c r="D157" s="4">
        <f t="shared" si="11"/>
        <v>0.2946</v>
      </c>
      <c r="E157" s="173">
        <f>IF(D157="","",POWER((1+D157),(1/12))-1)</f>
        <v>0.02174996982280808</v>
      </c>
      <c r="F157" s="53">
        <f t="shared" si="12"/>
        <v>0.043973000832909115</v>
      </c>
      <c r="G157" s="53">
        <f t="shared" si="13"/>
        <v>0.06667938209685143</v>
      </c>
      <c r="H157" s="53">
        <f t="shared" si="14"/>
        <v>0.13780490419052072</v>
      </c>
      <c r="I157" s="181"/>
    </row>
    <row r="158" spans="1:9" ht="12.75">
      <c r="A158" s="8">
        <v>37653</v>
      </c>
      <c r="B158" s="8">
        <v>37680</v>
      </c>
      <c r="C158" s="180">
        <v>0.1978</v>
      </c>
      <c r="D158" s="4">
        <f t="shared" si="11"/>
        <v>0.2967</v>
      </c>
      <c r="E158" s="173">
        <f>IF(D158="","",POWER((1+D158),(1/12))-1)</f>
        <v>0.021887984224732815</v>
      </c>
      <c r="F158" s="53">
        <f t="shared" si="12"/>
        <v>0.044255052302887954</v>
      </c>
      <c r="G158" s="53">
        <f t="shared" si="13"/>
        <v>0.06711169041429121</v>
      </c>
      <c r="H158" s="53">
        <f t="shared" si="14"/>
        <v>0.1387273598188461</v>
      </c>
      <c r="I158" s="181"/>
    </row>
    <row r="159" spans="1:9" ht="12.75">
      <c r="A159" s="8">
        <v>37681</v>
      </c>
      <c r="B159" s="8">
        <v>37711</v>
      </c>
      <c r="C159" s="180">
        <v>0.1949</v>
      </c>
      <c r="D159" s="4">
        <f t="shared" si="11"/>
        <v>0.29235</v>
      </c>
      <c r="E159" s="173">
        <f aca="true" t="shared" si="15" ref="E159:E222">IF(D159="","",POWER((1+D159),(1/12))-1)</f>
        <v>0.02160186933158159</v>
      </c>
      <c r="F159" s="53">
        <f t="shared" si="12"/>
        <v>0.04367037942178187</v>
      </c>
      <c r="G159" s="53">
        <f t="shared" si="13"/>
        <v>0.0662156105832934</v>
      </c>
      <c r="H159" s="53">
        <f t="shared" si="14"/>
        <v>0.136815728251505</v>
      </c>
      <c r="I159" s="181"/>
    </row>
    <row r="160" spans="1:9" ht="12.75">
      <c r="A160" s="8">
        <v>37712</v>
      </c>
      <c r="B160" s="8">
        <v>37741</v>
      </c>
      <c r="C160" s="180">
        <v>0.1981</v>
      </c>
      <c r="D160" s="174">
        <f t="shared" si="11"/>
        <v>0.29715</v>
      </c>
      <c r="E160" s="173">
        <f t="shared" si="15"/>
        <v>0.021917532081249247</v>
      </c>
      <c r="F160" s="53">
        <f t="shared" si="12"/>
        <v>0.044315442375031155</v>
      </c>
      <c r="G160" s="53">
        <f t="shared" si="13"/>
        <v>0.06720425958623011</v>
      </c>
      <c r="H160" s="53">
        <f t="shared" si="14"/>
        <v>0.13892493167899356</v>
      </c>
      <c r="I160" s="181"/>
    </row>
    <row r="161" spans="1:9" ht="12.75">
      <c r="A161" s="8">
        <v>37742</v>
      </c>
      <c r="B161" s="8">
        <v>37772</v>
      </c>
      <c r="C161" s="180">
        <v>0.1989</v>
      </c>
      <c r="D161" s="174">
        <f t="shared" si="11"/>
        <v>0.29835</v>
      </c>
      <c r="E161" s="173">
        <f t="shared" si="15"/>
        <v>0.021996280451781258</v>
      </c>
      <c r="F161" s="53">
        <f t="shared" si="12"/>
        <v>0.044476397257275924</v>
      </c>
      <c r="G161" s="53">
        <f t="shared" si="13"/>
        <v>0.06745099301661295</v>
      </c>
      <c r="H161" s="53">
        <f t="shared" si="14"/>
        <v>0.13945162249215315</v>
      </c>
      <c r="I161" s="181"/>
    </row>
    <row r="162" spans="1:9" ht="12.75">
      <c r="A162" s="8">
        <v>37773</v>
      </c>
      <c r="B162" s="8">
        <v>37802</v>
      </c>
      <c r="C162" s="180">
        <v>0.192</v>
      </c>
      <c r="D162" s="174">
        <f t="shared" si="11"/>
        <v>0.28800000000000003</v>
      </c>
      <c r="E162" s="173">
        <f t="shared" si="15"/>
        <v>0.02131487027533452</v>
      </c>
      <c r="F162" s="53">
        <f t="shared" si="12"/>
        <v>0.04308406424552347</v>
      </c>
      <c r="G162" s="53">
        <f t="shared" si="13"/>
        <v>0.06531726576118557</v>
      </c>
      <c r="H162" s="53">
        <f t="shared" si="14"/>
        <v>0.13490087672888862</v>
      </c>
      <c r="I162" s="181"/>
    </row>
    <row r="163" spans="1:9" ht="12.75">
      <c r="A163" s="8">
        <v>37803</v>
      </c>
      <c r="B163" s="8">
        <v>37833</v>
      </c>
      <c r="C163" s="180">
        <v>0.1944</v>
      </c>
      <c r="D163" s="174">
        <f t="shared" si="11"/>
        <v>0.29159999999999997</v>
      </c>
      <c r="E163" s="173">
        <f t="shared" si="15"/>
        <v>0.021552449974195476</v>
      </c>
      <c r="F163" s="53">
        <f t="shared" si="12"/>
        <v>0.04356940804828113</v>
      </c>
      <c r="G163" s="53">
        <f t="shared" si="13"/>
        <v>0.06606088550984257</v>
      </c>
      <c r="H163" s="53">
        <f t="shared" si="14"/>
        <v>0.13648581161402973</v>
      </c>
      <c r="I163" s="181"/>
    </row>
    <row r="164" spans="1:9" ht="12.75">
      <c r="A164" s="8">
        <v>37834</v>
      </c>
      <c r="B164" s="8">
        <v>37864</v>
      </c>
      <c r="C164" s="180">
        <v>0.1988</v>
      </c>
      <c r="D164" s="174">
        <f t="shared" si="11"/>
        <v>0.2982</v>
      </c>
      <c r="E164" s="173">
        <f t="shared" si="15"/>
        <v>0.021986440554979447</v>
      </c>
      <c r="F164" s="53">
        <f t="shared" si="12"/>
        <v>0.04445628467823637</v>
      </c>
      <c r="G164" s="53">
        <f t="shared" si="13"/>
        <v>0.06742016069358914</v>
      </c>
      <c r="H164" s="53">
        <f t="shared" si="14"/>
        <v>0.13938579945512752</v>
      </c>
      <c r="I164" s="181"/>
    </row>
    <row r="165" spans="1:9" ht="12.75">
      <c r="A165" s="8">
        <v>37865</v>
      </c>
      <c r="B165" s="8">
        <v>37894</v>
      </c>
      <c r="C165" s="180">
        <v>0.2012</v>
      </c>
      <c r="D165" s="174">
        <f t="shared" si="11"/>
        <v>0.30179999999999996</v>
      </c>
      <c r="E165" s="173">
        <f t="shared" si="15"/>
        <v>0.0222223109452242</v>
      </c>
      <c r="F165" s="53">
        <f t="shared" si="12"/>
        <v>0.04493845299419452</v>
      </c>
      <c r="G165" s="53">
        <f t="shared" si="13"/>
        <v>0.06815940021525302</v>
      </c>
      <c r="H165" s="53">
        <f t="shared" si="14"/>
        <v>0.14096450426820906</v>
      </c>
      <c r="I165" s="181"/>
    </row>
    <row r="166" spans="1:9" ht="12.75">
      <c r="A166" s="8">
        <v>37895</v>
      </c>
      <c r="B166" s="8">
        <v>37925</v>
      </c>
      <c r="C166" s="180">
        <v>0.2004</v>
      </c>
      <c r="D166" s="174">
        <f t="shared" si="11"/>
        <v>0.3006</v>
      </c>
      <c r="E166" s="173">
        <f t="shared" si="15"/>
        <v>0.022143753989766646</v>
      </c>
      <c r="F166" s="53">
        <f t="shared" si="12"/>
        <v>0.04477785382029276</v>
      </c>
      <c r="G166" s="53">
        <f t="shared" si="13"/>
        <v>0.06791315758924577</v>
      </c>
      <c r="H166" s="53">
        <f t="shared" si="14"/>
        <v>0.14043851215223357</v>
      </c>
      <c r="I166" s="181"/>
    </row>
    <row r="167" spans="1:9" ht="12.75">
      <c r="A167" s="8">
        <v>37926</v>
      </c>
      <c r="B167" s="8">
        <v>37955</v>
      </c>
      <c r="C167" s="180">
        <v>0.1987</v>
      </c>
      <c r="D167" s="174">
        <f t="shared" si="11"/>
        <v>0.29805</v>
      </c>
      <c r="E167" s="173">
        <f t="shared" si="15"/>
        <v>0.02197659961592091</v>
      </c>
      <c r="F167" s="53">
        <f t="shared" si="12"/>
        <v>0.04443617016252044</v>
      </c>
      <c r="G167" s="53">
        <f t="shared" si="13"/>
        <v>0.06738932569856804</v>
      </c>
      <c r="H167" s="53">
        <f t="shared" si="14"/>
        <v>0.13931997261524387</v>
      </c>
      <c r="I167" s="181"/>
    </row>
    <row r="168" spans="1:9" ht="12.75">
      <c r="A168" s="8">
        <v>37956</v>
      </c>
      <c r="B168" s="8">
        <v>37986</v>
      </c>
      <c r="C168" s="180">
        <v>0.1981</v>
      </c>
      <c r="D168" s="174">
        <f t="shared" si="11"/>
        <v>0.29715</v>
      </c>
      <c r="E168" s="173">
        <f t="shared" si="15"/>
        <v>0.021917532081249247</v>
      </c>
      <c r="F168" s="53">
        <f t="shared" si="12"/>
        <v>0.044315442375031155</v>
      </c>
      <c r="G168" s="53">
        <f t="shared" si="13"/>
        <v>0.06720425958623011</v>
      </c>
      <c r="H168" s="53">
        <f t="shared" si="14"/>
        <v>0.13892493167899356</v>
      </c>
      <c r="I168" s="181"/>
    </row>
    <row r="169" spans="1:9" ht="12.75">
      <c r="A169" s="8">
        <v>37987</v>
      </c>
      <c r="B169" s="8">
        <v>38017</v>
      </c>
      <c r="C169" s="180">
        <v>0.1967</v>
      </c>
      <c r="D169" s="174">
        <f t="shared" si="11"/>
        <v>0.29505000000000003</v>
      </c>
      <c r="E169" s="173">
        <f t="shared" si="15"/>
        <v>0.021779561604784226</v>
      </c>
      <c r="F169" s="53">
        <f t="shared" si="12"/>
        <v>0.04403347251326495</v>
      </c>
      <c r="G169" s="53">
        <f t="shared" si="13"/>
        <v>0.06677206384532441</v>
      </c>
      <c r="H169" s="53">
        <f t="shared" si="14"/>
        <v>0.1380026362008131</v>
      </c>
      <c r="I169" s="181"/>
    </row>
    <row r="170" spans="1:9" ht="12.75">
      <c r="A170" s="8">
        <v>38018</v>
      </c>
      <c r="B170" s="8">
        <v>38046</v>
      </c>
      <c r="C170" s="180">
        <v>0.1974</v>
      </c>
      <c r="D170" s="174">
        <f t="shared" si="11"/>
        <v>0.2961</v>
      </c>
      <c r="E170" s="173">
        <f t="shared" si="15"/>
        <v>0.021848572457668247</v>
      </c>
      <c r="F170" s="53">
        <f t="shared" si="12"/>
        <v>0.04417450503377429</v>
      </c>
      <c r="G170" s="53">
        <f t="shared" si="13"/>
        <v>0.06698822736545451</v>
      </c>
      <c r="H170" s="53">
        <f t="shared" si="14"/>
        <v>0.1384638773364748</v>
      </c>
      <c r="I170" s="181"/>
    </row>
    <row r="171" spans="1:9" ht="12.75">
      <c r="A171" s="8">
        <v>38047</v>
      </c>
      <c r="B171" s="8">
        <v>38077</v>
      </c>
      <c r="C171" s="180">
        <v>0.198</v>
      </c>
      <c r="D171" s="174">
        <f t="shared" si="11"/>
        <v>0.29700000000000004</v>
      </c>
      <c r="E171" s="173">
        <f t="shared" si="15"/>
        <v>0.021907683839926584</v>
      </c>
      <c r="F171" s="53">
        <f t="shared" si="12"/>
        <v>0.044295314291083354</v>
      </c>
      <c r="G171" s="53">
        <f t="shared" si="13"/>
        <v>0.0671734058720892</v>
      </c>
      <c r="H171" s="53">
        <f t="shared" si="14"/>
        <v>0.13885907820063514</v>
      </c>
      <c r="I171" s="181"/>
    </row>
    <row r="172" spans="1:9" ht="12.75">
      <c r="A172" s="8">
        <v>38078</v>
      </c>
      <c r="B172" s="8">
        <v>38107</v>
      </c>
      <c r="C172" s="180">
        <v>0.1978</v>
      </c>
      <c r="D172" s="174">
        <f t="shared" si="11"/>
        <v>0.2967</v>
      </c>
      <c r="E172" s="173">
        <f t="shared" si="15"/>
        <v>0.021887984224732815</v>
      </c>
      <c r="F172" s="53">
        <f t="shared" si="12"/>
        <v>0.044255052302887954</v>
      </c>
      <c r="G172" s="53">
        <f t="shared" si="13"/>
        <v>0.06711169041429121</v>
      </c>
      <c r="H172" s="53">
        <f t="shared" si="14"/>
        <v>0.1387273598188461</v>
      </c>
      <c r="I172" s="181"/>
    </row>
    <row r="173" spans="1:9" ht="12.75">
      <c r="A173" s="8">
        <v>38108</v>
      </c>
      <c r="B173" s="8">
        <v>38138</v>
      </c>
      <c r="C173" s="180">
        <v>0.1971</v>
      </c>
      <c r="D173" s="174">
        <f t="shared" si="11"/>
        <v>0.29564999999999997</v>
      </c>
      <c r="E173" s="173">
        <f t="shared" si="15"/>
        <v>0.021819002655476094</v>
      </c>
      <c r="F173" s="53">
        <f t="shared" si="12"/>
        <v>0.04411407418783164</v>
      </c>
      <c r="G173" s="53">
        <f t="shared" si="13"/>
        <v>0.06689560194515587</v>
      </c>
      <c r="H173" s="53">
        <f t="shared" si="14"/>
        <v>0.1382662254499165</v>
      </c>
      <c r="I173" s="181"/>
    </row>
    <row r="174" spans="1:9" ht="12.75">
      <c r="A174" s="8">
        <v>38139</v>
      </c>
      <c r="B174" s="8">
        <v>38168</v>
      </c>
      <c r="C174" s="180">
        <v>0.1967</v>
      </c>
      <c r="D174" s="174">
        <f t="shared" si="11"/>
        <v>0.29505000000000003</v>
      </c>
      <c r="E174" s="173">
        <f t="shared" si="15"/>
        <v>0.021779561604784226</v>
      </c>
      <c r="F174" s="53">
        <f t="shared" si="12"/>
        <v>0.04403347251326495</v>
      </c>
      <c r="G174" s="53">
        <f t="shared" si="13"/>
        <v>0.06677206384532441</v>
      </c>
      <c r="H174" s="53">
        <f t="shared" si="14"/>
        <v>0.1380026362008131</v>
      </c>
      <c r="I174" s="181"/>
    </row>
    <row r="175" spans="1:9" ht="12.75">
      <c r="A175" s="8">
        <v>38169</v>
      </c>
      <c r="B175" s="8">
        <v>38199</v>
      </c>
      <c r="C175" s="180">
        <v>0.1944</v>
      </c>
      <c r="D175" s="174">
        <f t="shared" si="11"/>
        <v>0.29159999999999997</v>
      </c>
      <c r="E175" s="173">
        <f t="shared" si="15"/>
        <v>0.021552449974195476</v>
      </c>
      <c r="F175" s="53">
        <f t="shared" si="12"/>
        <v>0.04356940804828113</v>
      </c>
      <c r="G175" s="53">
        <f t="shared" si="13"/>
        <v>0.06606088550984257</v>
      </c>
      <c r="H175" s="53">
        <f t="shared" si="14"/>
        <v>0.13648581161402973</v>
      </c>
      <c r="I175" s="181"/>
    </row>
    <row r="176" spans="1:9" ht="12.75">
      <c r="A176" s="8">
        <v>38200</v>
      </c>
      <c r="B176" s="8">
        <v>38230</v>
      </c>
      <c r="C176" s="180">
        <v>0.1928</v>
      </c>
      <c r="D176" s="174">
        <f t="shared" si="11"/>
        <v>0.2892</v>
      </c>
      <c r="E176" s="173">
        <f t="shared" si="15"/>
        <v>0.021394131067975497</v>
      </c>
      <c r="F176" s="53">
        <f t="shared" si="12"/>
        <v>0.04324597098010452</v>
      </c>
      <c r="G176" s="53">
        <f t="shared" si="13"/>
        <v>0.0655653120193902</v>
      </c>
      <c r="H176" s="53">
        <f t="shared" si="14"/>
        <v>0.13542943417898057</v>
      </c>
      <c r="I176" s="181"/>
    </row>
    <row r="177" spans="1:9" ht="12.75">
      <c r="A177" s="8">
        <v>38231</v>
      </c>
      <c r="B177" s="8">
        <v>38260</v>
      </c>
      <c r="C177" s="180">
        <v>0.195</v>
      </c>
      <c r="D177" s="174">
        <f t="shared" si="11"/>
        <v>0.2925</v>
      </c>
      <c r="E177" s="173">
        <f t="shared" si="15"/>
        <v>0.021611750048168954</v>
      </c>
      <c r="F177" s="53">
        <f t="shared" si="12"/>
        <v>0.043690567836482286</v>
      </c>
      <c r="G177" s="53">
        <f t="shared" si="13"/>
        <v>0.06624654751619574</v>
      </c>
      <c r="H177" s="53">
        <f t="shared" si="14"/>
        <v>0.13688170009020717</v>
      </c>
      <c r="I177" s="181"/>
    </row>
    <row r="178" spans="1:9" ht="12.75">
      <c r="A178" s="8">
        <v>38261</v>
      </c>
      <c r="B178" s="8">
        <v>38291</v>
      </c>
      <c r="C178" s="180">
        <v>0.1909</v>
      </c>
      <c r="D178" s="174">
        <f t="shared" si="11"/>
        <v>0.28635</v>
      </c>
      <c r="E178" s="173">
        <f t="shared" si="15"/>
        <v>0.02120577608570806</v>
      </c>
      <c r="F178" s="53">
        <f t="shared" si="12"/>
        <v>0.042861237110813244</v>
      </c>
      <c r="G178" s="53">
        <f t="shared" si="13"/>
        <v>0.06497591899344979</v>
      </c>
      <c r="H178" s="53">
        <f t="shared" si="14"/>
        <v>0.13417370803594286</v>
      </c>
      <c r="I178" s="181"/>
    </row>
    <row r="179" spans="1:9" ht="12.75">
      <c r="A179" s="8">
        <v>38292</v>
      </c>
      <c r="B179" s="8">
        <v>38321</v>
      </c>
      <c r="C179" s="180">
        <v>0.1959</v>
      </c>
      <c r="D179" s="174">
        <f t="shared" si="11"/>
        <v>0.29385</v>
      </c>
      <c r="E179" s="173">
        <f t="shared" si="15"/>
        <v>0.02170062922670235</v>
      </c>
      <c r="F179" s="53">
        <f t="shared" si="12"/>
        <v>0.04387217576223956</v>
      </c>
      <c r="G179" s="53">
        <f t="shared" si="13"/>
        <v>0.06652485880852699</v>
      </c>
      <c r="H179" s="53">
        <f t="shared" si="14"/>
        <v>0.1374752744565484</v>
      </c>
      <c r="I179" s="181"/>
    </row>
    <row r="180" spans="1:9" ht="12.75">
      <c r="A180" s="8">
        <v>38322</v>
      </c>
      <c r="B180" s="8">
        <v>38352</v>
      </c>
      <c r="C180" s="180">
        <v>0.1949</v>
      </c>
      <c r="D180" s="174">
        <f t="shared" si="11"/>
        <v>0.29235</v>
      </c>
      <c r="E180" s="173">
        <f t="shared" si="15"/>
        <v>0.02160186933158159</v>
      </c>
      <c r="F180" s="53">
        <f t="shared" si="12"/>
        <v>0.04367037942178187</v>
      </c>
      <c r="G180" s="53">
        <f t="shared" si="13"/>
        <v>0.0662156105832934</v>
      </c>
      <c r="H180" s="53">
        <f t="shared" si="14"/>
        <v>0.136815728251505</v>
      </c>
      <c r="I180" s="181"/>
    </row>
    <row r="181" spans="1:9" ht="12.75">
      <c r="A181" s="8">
        <v>38353</v>
      </c>
      <c r="B181" s="8">
        <v>38383</v>
      </c>
      <c r="C181" s="180">
        <v>0.1945</v>
      </c>
      <c r="D181" s="174">
        <f t="shared" si="11"/>
        <v>0.29175</v>
      </c>
      <c r="E181" s="173">
        <f t="shared" si="15"/>
        <v>0.021562335949712796</v>
      </c>
      <c r="F181" s="53">
        <f t="shared" si="12"/>
        <v>0.04358960623103392</v>
      </c>
      <c r="G181" s="53">
        <f t="shared" si="13"/>
        <v>0.06609183591421597</v>
      </c>
      <c r="H181" s="53">
        <f t="shared" si="14"/>
        <v>0.1365518026029433</v>
      </c>
      <c r="I181" s="181"/>
    </row>
    <row r="182" spans="1:9" ht="12.75">
      <c r="A182" s="8">
        <v>38384</v>
      </c>
      <c r="B182" s="8">
        <v>38411</v>
      </c>
      <c r="C182" s="180">
        <v>0.194</v>
      </c>
      <c r="D182" s="174">
        <f t="shared" si="11"/>
        <v>0.29100000000000004</v>
      </c>
      <c r="E182" s="173">
        <f t="shared" si="15"/>
        <v>0.021512895544899102</v>
      </c>
      <c r="F182" s="53">
        <f t="shared" si="12"/>
        <v>0.043488595764523685</v>
      </c>
      <c r="G182" s="53">
        <f t="shared" si="13"/>
        <v>0.0659370569274993</v>
      </c>
      <c r="H182" s="53">
        <f t="shared" si="14"/>
        <v>0.13622180933125905</v>
      </c>
      <c r="I182" s="181"/>
    </row>
    <row r="183" spans="1:9" ht="12.75">
      <c r="A183" s="8">
        <v>38412</v>
      </c>
      <c r="B183" s="8">
        <v>38442</v>
      </c>
      <c r="C183" s="180">
        <v>0.1915</v>
      </c>
      <c r="D183" s="174">
        <f t="shared" si="11"/>
        <v>0.28725</v>
      </c>
      <c r="E183" s="173">
        <f t="shared" si="15"/>
        <v>0.021265297898246827</v>
      </c>
      <c r="F183" s="53">
        <f t="shared" si="12"/>
        <v>0.042982808691194974</v>
      </c>
      <c r="G183" s="53">
        <f t="shared" si="13"/>
        <v>0.06516214882076343</v>
      </c>
      <c r="H183" s="53">
        <f t="shared" si="14"/>
        <v>0.13457040328046643</v>
      </c>
      <c r="I183" s="181"/>
    </row>
    <row r="184" spans="1:9" ht="12.75">
      <c r="A184" s="8">
        <v>38443</v>
      </c>
      <c r="B184" s="8">
        <v>38472</v>
      </c>
      <c r="C184" s="180">
        <v>0.1919</v>
      </c>
      <c r="D184" s="174">
        <f t="shared" si="11"/>
        <v>0.28785</v>
      </c>
      <c r="E184" s="173">
        <f t="shared" si="15"/>
        <v>0.021304957917130052</v>
      </c>
      <c r="F184" s="53">
        <f t="shared" si="12"/>
        <v>0.04306381706611084</v>
      </c>
      <c r="G184" s="53">
        <f t="shared" si="13"/>
        <v>0.06528624779358538</v>
      </c>
      <c r="H184" s="53">
        <f t="shared" si="14"/>
        <v>0.13483478973813634</v>
      </c>
      <c r="I184" s="181"/>
    </row>
    <row r="185" spans="1:10" ht="12.75">
      <c r="A185" s="8">
        <v>38473</v>
      </c>
      <c r="B185" s="8">
        <v>38503</v>
      </c>
      <c r="C185" s="180">
        <v>0.1902</v>
      </c>
      <c r="D185" s="174">
        <f t="shared" si="11"/>
        <v>0.2853</v>
      </c>
      <c r="E185" s="173">
        <f t="shared" si="15"/>
        <v>0.021136285703942326</v>
      </c>
      <c r="F185" s="53">
        <f t="shared" si="12"/>
        <v>0.04271931398124318</v>
      </c>
      <c r="G185" s="53">
        <f t="shared" si="13"/>
        <v>0.0647585273105693</v>
      </c>
      <c r="H185" s="53">
        <f t="shared" si="14"/>
        <v>0.1337107214805724</v>
      </c>
      <c r="I185" s="181"/>
      <c r="J185" s="180"/>
    </row>
    <row r="186" spans="1:10" ht="12.75">
      <c r="A186" s="8">
        <v>38504</v>
      </c>
      <c r="B186" s="8">
        <v>38533</v>
      </c>
      <c r="C186" s="180">
        <v>0.1885</v>
      </c>
      <c r="D186" s="174">
        <f t="shared" si="11"/>
        <v>0.28275</v>
      </c>
      <c r="E186" s="173">
        <f t="shared" si="15"/>
        <v>0.020967306457055912</v>
      </c>
      <c r="F186" s="53">
        <f t="shared" si="12"/>
        <v>0.04237424085417585</v>
      </c>
      <c r="G186" s="53">
        <f t="shared" si="13"/>
        <v>0.06423002100510611</v>
      </c>
      <c r="H186" s="53">
        <f t="shared" si="14"/>
        <v>0.13258553760852876</v>
      </c>
      <c r="I186" s="181"/>
      <c r="J186" s="180"/>
    </row>
    <row r="187" spans="1:10" ht="12.75">
      <c r="A187" s="8">
        <v>38534</v>
      </c>
      <c r="B187" s="8">
        <v>38564</v>
      </c>
      <c r="C187" s="180">
        <v>0.185</v>
      </c>
      <c r="D187" s="174">
        <f t="shared" si="11"/>
        <v>0.27749999999999997</v>
      </c>
      <c r="E187" s="173">
        <f t="shared" si="15"/>
        <v>0.02061843622732873</v>
      </c>
      <c r="F187" s="53">
        <f t="shared" si="12"/>
        <v>0.041661992367117984</v>
      </c>
      <c r="G187" s="53">
        <f t="shared" si="13"/>
        <v>0.06313943372717179</v>
      </c>
      <c r="H187" s="53">
        <f t="shared" si="14"/>
        <v>0.13026545554573143</v>
      </c>
      <c r="I187" s="181"/>
      <c r="J187" s="180"/>
    </row>
    <row r="188" spans="1:10" ht="12.75">
      <c r="A188" s="8">
        <v>38565</v>
      </c>
      <c r="B188" s="8">
        <v>38595</v>
      </c>
      <c r="C188" s="180">
        <v>0.1824</v>
      </c>
      <c r="D188" s="174">
        <f t="shared" si="11"/>
        <v>0.2736</v>
      </c>
      <c r="E188" s="173">
        <f t="shared" si="15"/>
        <v>0.02035842368661034</v>
      </c>
      <c r="F188" s="53">
        <f t="shared" si="12"/>
        <v>0.04113131278822424</v>
      </c>
      <c r="G188" s="53">
        <f t="shared" si="13"/>
        <v>0.062327105167363506</v>
      </c>
      <c r="H188" s="53">
        <f t="shared" si="14"/>
        <v>0.12853887837327083</v>
      </c>
      <c r="I188" s="181"/>
      <c r="J188" s="180"/>
    </row>
    <row r="189" spans="1:9" ht="12.75">
      <c r="A189" s="8">
        <v>38596</v>
      </c>
      <c r="B189" s="8">
        <v>38625</v>
      </c>
      <c r="C189" s="180">
        <v>0.1822</v>
      </c>
      <c r="D189" s="174">
        <f t="shared" si="11"/>
        <v>0.2733</v>
      </c>
      <c r="E189" s="173">
        <f t="shared" si="15"/>
        <v>0.020338392503352676</v>
      </c>
      <c r="F189" s="53">
        <f t="shared" si="12"/>
        <v>0.041090435216325494</v>
      </c>
      <c r="G189" s="53">
        <f t="shared" si="13"/>
        <v>0.06226454111924129</v>
      </c>
      <c r="H189" s="53">
        <f t="shared" si="14"/>
        <v>0.12840595531927246</v>
      </c>
      <c r="I189" s="181"/>
    </row>
    <row r="190" spans="1:9" ht="12.75">
      <c r="A190" s="8">
        <v>38626</v>
      </c>
      <c r="B190" s="8">
        <v>38656</v>
      </c>
      <c r="C190" s="180">
        <v>0.1793</v>
      </c>
      <c r="D190" s="174">
        <f t="shared" si="11"/>
        <v>0.26894999999999997</v>
      </c>
      <c r="E190" s="173">
        <f t="shared" si="15"/>
        <v>0.020047453144172334</v>
      </c>
      <c r="F190" s="53">
        <f t="shared" si="12"/>
        <v>0.0404968066659126</v>
      </c>
      <c r="G190" s="53">
        <f t="shared" si="13"/>
        <v>0.06135611764420834</v>
      </c>
      <c r="H190" s="53">
        <f t="shared" si="14"/>
        <v>0.1264768084607868</v>
      </c>
      <c r="I190" s="181"/>
    </row>
    <row r="191" spans="1:9" ht="12.75">
      <c r="A191" s="8">
        <v>38657</v>
      </c>
      <c r="B191" s="8">
        <v>38686</v>
      </c>
      <c r="C191" s="180">
        <v>0.1781</v>
      </c>
      <c r="D191" s="174">
        <f t="shared" si="11"/>
        <v>0.26715</v>
      </c>
      <c r="E191" s="173">
        <f t="shared" si="15"/>
        <v>0.019926796944283565</v>
      </c>
      <c r="F191" s="53">
        <f t="shared" si="12"/>
        <v>0.040250671125025894</v>
      </c>
      <c r="G191" s="53">
        <f t="shared" si="13"/>
        <v>0.06097953501968889</v>
      </c>
      <c r="H191" s="53">
        <f t="shared" si="14"/>
        <v>0.1256775737305953</v>
      </c>
      <c r="I191" s="181"/>
    </row>
    <row r="192" spans="1:9" ht="12.75">
      <c r="A192" s="8">
        <v>38687</v>
      </c>
      <c r="B192" s="8">
        <v>38717</v>
      </c>
      <c r="C192" s="180">
        <v>0.1749</v>
      </c>
      <c r="D192" s="174">
        <f t="shared" si="11"/>
        <v>0.26234999999999997</v>
      </c>
      <c r="E192" s="173">
        <f t="shared" si="15"/>
        <v>0.01960427731505643</v>
      </c>
      <c r="F192" s="53">
        <f t="shared" si="12"/>
        <v>0.039592882319158695</v>
      </c>
      <c r="G192" s="53">
        <f t="shared" si="13"/>
        <v>0.059973349478902316</v>
      </c>
      <c r="H192" s="53">
        <f t="shared" si="14"/>
        <v>0.12354350160552308</v>
      </c>
      <c r="I192" s="181"/>
    </row>
    <row r="193" spans="1:9" ht="12.75">
      <c r="A193" s="8">
        <v>38718</v>
      </c>
      <c r="B193" s="8">
        <v>38748</v>
      </c>
      <c r="C193" s="180">
        <v>0.1735</v>
      </c>
      <c r="D193" s="174">
        <f t="shared" si="11"/>
        <v>0.26025</v>
      </c>
      <c r="E193" s="173">
        <f t="shared" si="15"/>
        <v>0.019462821347354664</v>
      </c>
      <c r="F193" s="53">
        <f t="shared" si="12"/>
        <v>0.03930444410950851</v>
      </c>
      <c r="G193" s="53">
        <f t="shared" si="13"/>
        <v>0.059532240830723726</v>
      </c>
      <c r="H193" s="53">
        <f t="shared" si="14"/>
        <v>0.12260856935977471</v>
      </c>
      <c r="I193" s="181"/>
    </row>
    <row r="194" spans="1:9" ht="12.75">
      <c r="A194" s="8">
        <v>38749</v>
      </c>
      <c r="B194" s="8">
        <v>38776</v>
      </c>
      <c r="C194" s="180">
        <v>0.1751</v>
      </c>
      <c r="D194" s="174">
        <f t="shared" si="11"/>
        <v>0.26265</v>
      </c>
      <c r="E194" s="173">
        <f t="shared" si="15"/>
        <v>0.019624467698764914</v>
      </c>
      <c r="F194" s="53">
        <f t="shared" si="12"/>
        <v>0.03963405512998941</v>
      </c>
      <c r="G194" s="53">
        <f t="shared" si="13"/>
        <v>0.060036320063423965</v>
      </c>
      <c r="H194" s="53">
        <f t="shared" si="14"/>
        <v>0.12367699985360558</v>
      </c>
      <c r="I194" s="181"/>
    </row>
    <row r="195" spans="1:9" ht="12.75">
      <c r="A195" s="8">
        <v>38777</v>
      </c>
      <c r="B195" s="8">
        <v>38807</v>
      </c>
      <c r="C195" s="180">
        <v>0.1725</v>
      </c>
      <c r="D195" s="174">
        <f t="shared" si="11"/>
        <v>0.25875</v>
      </c>
      <c r="E195" s="173">
        <f t="shared" si="15"/>
        <v>0.01936164902154691</v>
      </c>
      <c r="F195" s="53">
        <f t="shared" si="12"/>
        <v>0.039098171495927536</v>
      </c>
      <c r="G195" s="53">
        <f t="shared" si="13"/>
        <v>0.05921682559136299</v>
      </c>
      <c r="H195" s="53">
        <f t="shared" si="14"/>
        <v>0.12194028361584386</v>
      </c>
      <c r="I195" s="181"/>
    </row>
    <row r="196" spans="1:9" ht="12.75">
      <c r="A196" s="8">
        <v>38808</v>
      </c>
      <c r="B196" s="8">
        <v>38837</v>
      </c>
      <c r="C196" s="180">
        <v>0.1675</v>
      </c>
      <c r="D196" s="174">
        <f t="shared" si="11"/>
        <v>0.25125000000000003</v>
      </c>
      <c r="E196" s="173">
        <f t="shared" si="15"/>
        <v>0.01885412367378203</v>
      </c>
      <c r="F196" s="53">
        <f t="shared" si="12"/>
        <v>0.03806372532707014</v>
      </c>
      <c r="G196" s="53">
        <f t="shared" si="13"/>
        <v>0.05763550718565358</v>
      </c>
      <c r="H196" s="53">
        <f t="shared" si="14"/>
        <v>0.11859286605985475</v>
      </c>
      <c r="I196" s="181"/>
    </row>
    <row r="197" spans="1:9" ht="12.75">
      <c r="A197" s="8">
        <v>38838</v>
      </c>
      <c r="B197" s="8">
        <v>38868</v>
      </c>
      <c r="C197" s="180">
        <v>0.1607</v>
      </c>
      <c r="D197" s="174">
        <f t="shared" si="11"/>
        <v>0.24105000000000001</v>
      </c>
      <c r="E197" s="173">
        <f t="shared" si="15"/>
        <v>0.01815939547443568</v>
      </c>
      <c r="F197" s="53">
        <f t="shared" si="12"/>
        <v>0.03664855459286831</v>
      </c>
      <c r="G197" s="53">
        <f t="shared" si="13"/>
        <v>0.055473465663722576</v>
      </c>
      <c r="H197" s="53">
        <f t="shared" si="14"/>
        <v>0.11402423672018913</v>
      </c>
      <c r="I197" s="181"/>
    </row>
    <row r="198" spans="1:9" ht="12.75">
      <c r="A198" s="8">
        <v>38869</v>
      </c>
      <c r="B198" s="8">
        <v>38898</v>
      </c>
      <c r="C198" s="180">
        <v>0.1561</v>
      </c>
      <c r="D198" s="174">
        <f t="shared" si="11"/>
        <v>0.23414999999999997</v>
      </c>
      <c r="E198" s="182">
        <f t="shared" si="15"/>
        <v>0.017686458185695697</v>
      </c>
      <c r="F198" s="53">
        <f t="shared" si="12"/>
        <v>0.035685727174545656</v>
      </c>
      <c r="G198" s="53">
        <f t="shared" si="13"/>
        <v>0.054003339481740076</v>
      </c>
      <c r="H198" s="53">
        <f t="shared" si="14"/>
        <v>0.11092303963866024</v>
      </c>
      <c r="I198" s="181"/>
    </row>
    <row r="199" spans="1:9" ht="12.75">
      <c r="A199" s="8">
        <v>38899</v>
      </c>
      <c r="B199" s="8">
        <v>38929</v>
      </c>
      <c r="C199" s="180">
        <v>0.1508</v>
      </c>
      <c r="D199" s="174">
        <f t="shared" si="11"/>
        <v>0.22619999999999998</v>
      </c>
      <c r="E199" s="182">
        <f t="shared" si="15"/>
        <v>0.01713853767888618</v>
      </c>
      <c r="F199" s="53">
        <f t="shared" si="12"/>
        <v>0.034570804831542956</v>
      </c>
      <c r="G199" s="53">
        <f t="shared" si="13"/>
        <v>0.05230183555162382</v>
      </c>
      <c r="H199" s="53">
        <f t="shared" si="14"/>
        <v>0.10733915310531672</v>
      </c>
      <c r="I199" s="181"/>
    </row>
    <row r="200" spans="1:9" ht="12.75">
      <c r="A200" s="8">
        <v>38930</v>
      </c>
      <c r="B200" s="8">
        <v>38960</v>
      </c>
      <c r="C200" s="180">
        <v>0.1502</v>
      </c>
      <c r="D200" s="174">
        <f t="shared" si="11"/>
        <v>0.2253</v>
      </c>
      <c r="E200" s="182">
        <f t="shared" si="15"/>
        <v>0.01707630389551884</v>
      </c>
      <c r="F200" s="53">
        <f t="shared" si="12"/>
        <v>0.03444420794577008</v>
      </c>
      <c r="G200" s="53">
        <f t="shared" si="13"/>
        <v>0.05210869160361131</v>
      </c>
      <c r="H200" s="53">
        <f t="shared" si="14"/>
        <v>0.10693269894786295</v>
      </c>
      <c r="I200" s="181"/>
    </row>
    <row r="201" spans="1:9" ht="12.75">
      <c r="A201" s="8">
        <v>38961</v>
      </c>
      <c r="B201" s="8">
        <v>38990</v>
      </c>
      <c r="C201" s="180">
        <v>0.1505</v>
      </c>
      <c r="D201" s="174">
        <f t="shared" si="11"/>
        <v>0.22575</v>
      </c>
      <c r="E201" s="182">
        <f t="shared" si="15"/>
        <v>0.017107426023065475</v>
      </c>
      <c r="F201" s="53">
        <f t="shared" si="12"/>
        <v>0.03450751607126579</v>
      </c>
      <c r="G201" s="53">
        <f t="shared" si="13"/>
        <v>0.05220527687276011</v>
      </c>
      <c r="H201" s="53">
        <f t="shared" si="14"/>
        <v>0.10713594467888177</v>
      </c>
      <c r="I201" s="181"/>
    </row>
    <row r="202" spans="1:9" ht="12.75">
      <c r="A202" s="183">
        <v>38991</v>
      </c>
      <c r="B202" s="183">
        <v>39082</v>
      </c>
      <c r="C202" s="184">
        <v>0.1507</v>
      </c>
      <c r="D202" s="174">
        <f t="shared" si="11"/>
        <v>0.22605</v>
      </c>
      <c r="E202" s="185">
        <f t="shared" si="15"/>
        <v>0.017128168290016177</v>
      </c>
      <c r="F202" s="89">
        <f t="shared" si="12"/>
        <v>0.03454971072900359</v>
      </c>
      <c r="G202" s="89">
        <f t="shared" si="13"/>
        <v>0.052269652278757794</v>
      </c>
      <c r="H202" s="89">
        <f t="shared" si="14"/>
        <v>0.10727142110685772</v>
      </c>
      <c r="I202" s="181"/>
    </row>
    <row r="203" spans="1:9" ht="12.75">
      <c r="A203" s="186"/>
      <c r="B203" s="186"/>
      <c r="C203" s="187"/>
      <c r="D203" s="174">
        <f t="shared" si="11"/>
      </c>
      <c r="E203" s="185">
        <f t="shared" si="15"/>
      </c>
      <c r="F203" s="89">
        <f t="shared" si="12"/>
      </c>
      <c r="G203" s="89">
        <f t="shared" si="13"/>
      </c>
      <c r="H203" s="89">
        <f t="shared" si="14"/>
      </c>
      <c r="I203" s="181"/>
    </row>
    <row r="204" spans="1:9" ht="12.75">
      <c r="A204" s="8"/>
      <c r="B204" s="8"/>
      <c r="C204" s="188" t="s">
        <v>23</v>
      </c>
      <c r="D204" s="174" t="e">
        <f t="shared" si="11"/>
        <v>#VALUE!</v>
      </c>
      <c r="E204" s="185" t="e">
        <f t="shared" si="15"/>
        <v>#VALUE!</v>
      </c>
      <c r="F204" s="89" t="e">
        <f t="shared" si="12"/>
        <v>#VALUE!</v>
      </c>
      <c r="G204" s="89" t="e">
        <f t="shared" si="13"/>
        <v>#VALUE!</v>
      </c>
      <c r="H204" s="89" t="e">
        <f t="shared" si="14"/>
        <v>#VALUE!</v>
      </c>
      <c r="I204" s="181"/>
    </row>
    <row r="205" spans="1:9" ht="12.75">
      <c r="A205" s="8">
        <v>39083</v>
      </c>
      <c r="B205" s="8">
        <v>39086</v>
      </c>
      <c r="C205" s="180">
        <v>0.1107</v>
      </c>
      <c r="D205" s="174">
        <f t="shared" si="11"/>
        <v>0.16605</v>
      </c>
      <c r="E205" s="185">
        <f t="shared" si="15"/>
        <v>0.012884124953525422</v>
      </c>
      <c r="F205" s="89">
        <f t="shared" si="12"/>
        <v>0.025934250582869023</v>
      </c>
      <c r="G205" s="89">
        <f t="shared" si="13"/>
        <v>0.039152515661480036</v>
      </c>
      <c r="H205" s="89">
        <f t="shared" si="14"/>
        <v>0.07983795080558265</v>
      </c>
      <c r="I205" s="181"/>
    </row>
    <row r="206" spans="1:9" ht="12.75">
      <c r="A206" s="8">
        <v>39087</v>
      </c>
      <c r="B206" s="8">
        <v>39172</v>
      </c>
      <c r="C206" s="180">
        <v>0.1383</v>
      </c>
      <c r="D206" s="174">
        <f t="shared" si="11"/>
        <v>0.20745000000000002</v>
      </c>
      <c r="E206" s="185">
        <f t="shared" si="15"/>
        <v>0.015833263355760963</v>
      </c>
      <c r="F206" s="89">
        <f t="shared" si="12"/>
        <v>0.03191721894001498</v>
      </c>
      <c r="G206" s="89">
        <f t="shared" si="13"/>
        <v>0.04825583602883676</v>
      </c>
      <c r="H206" s="89">
        <f t="shared" si="14"/>
        <v>0.09884029776851566</v>
      </c>
      <c r="I206" s="181"/>
    </row>
    <row r="207" spans="1:9" ht="12.75">
      <c r="A207" s="8">
        <v>39173</v>
      </c>
      <c r="B207" s="8">
        <v>39263</v>
      </c>
      <c r="C207" s="180">
        <v>0.1675</v>
      </c>
      <c r="D207" s="174">
        <f t="shared" si="11"/>
        <v>0.25125000000000003</v>
      </c>
      <c r="E207" s="185">
        <f t="shared" si="15"/>
        <v>0.01885412367378203</v>
      </c>
      <c r="F207" s="89">
        <f t="shared" si="12"/>
        <v>0.03806372532707014</v>
      </c>
      <c r="G207" s="89">
        <f t="shared" si="13"/>
        <v>0.05763550718565358</v>
      </c>
      <c r="H207" s="89">
        <f t="shared" si="14"/>
        <v>0.11859286605985475</v>
      </c>
      <c r="I207" s="181"/>
    </row>
    <row r="208" spans="1:9" ht="12.75">
      <c r="A208" s="8">
        <v>39264</v>
      </c>
      <c r="B208" s="8">
        <v>39355</v>
      </c>
      <c r="C208" s="180">
        <v>0.1901</v>
      </c>
      <c r="D208" s="174">
        <f t="shared" si="11"/>
        <v>0.28515</v>
      </c>
      <c r="E208" s="185">
        <f t="shared" si="15"/>
        <v>0.021126354258853564</v>
      </c>
      <c r="F208" s="89">
        <f t="shared" si="12"/>
        <v>0.0426990313619775</v>
      </c>
      <c r="G208" s="89">
        <f t="shared" si="13"/>
        <v>0.0647274604838941</v>
      </c>
      <c r="H208" s="89">
        <f t="shared" si="14"/>
        <v>0.13364456510848233</v>
      </c>
      <c r="I208" s="181"/>
    </row>
    <row r="209" spans="1:9" ht="12.75">
      <c r="A209" s="8">
        <v>39356</v>
      </c>
      <c r="B209" s="8">
        <v>39447</v>
      </c>
      <c r="C209" s="180">
        <v>0.2126</v>
      </c>
      <c r="D209" s="174">
        <f aca="true" t="shared" si="16" ref="D209:D279">IF(C209="","",C209*1.5)</f>
        <v>0.3189</v>
      </c>
      <c r="E209" s="185">
        <f t="shared" si="15"/>
        <v>0.023334593797462055</v>
      </c>
      <c r="F209" s="89">
        <f t="shared" si="12"/>
        <v>0.04721369086261662</v>
      </c>
      <c r="G209" s="89">
        <f t="shared" si="13"/>
        <v>0.07164999695803687</v>
      </c>
      <c r="H209" s="89">
        <f t="shared" si="14"/>
        <v>0.14843371598016053</v>
      </c>
      <c r="I209" s="181"/>
    </row>
    <row r="210" spans="1:9" ht="12.75">
      <c r="A210" s="8">
        <v>39448</v>
      </c>
      <c r="B210" s="8">
        <v>39538</v>
      </c>
      <c r="C210" s="180">
        <v>0.2183</v>
      </c>
      <c r="D210" s="174">
        <f t="shared" si="16"/>
        <v>0.32745</v>
      </c>
      <c r="E210" s="185">
        <f t="shared" si="15"/>
        <v>0.02388578678451947</v>
      </c>
      <c r="F210" s="89">
        <f aca="true" t="shared" si="17" ref="F210:F279">IF(D210="","",POWER((1+D210),(1/6))-1)</f>
        <v>0.04834210437935438</v>
      </c>
      <c r="G210" s="89">
        <f aca="true" t="shared" si="18" ref="G210:G279">IF(D210="","",POWER((1+D210),(1/4))-1)</f>
        <v>0.07338258036179401</v>
      </c>
      <c r="H210" s="89">
        <f aca="true" t="shared" si="19" ref="H210:H279">IF(D210="","",POWER((1+D210),(1/2))-1)</f>
        <v>0.15215016382414315</v>
      </c>
      <c r="I210" s="181"/>
    </row>
    <row r="211" spans="1:9" ht="12.75">
      <c r="A211" s="8">
        <v>39539</v>
      </c>
      <c r="B211" s="8">
        <v>39629</v>
      </c>
      <c r="C211" s="189">
        <v>0.2192</v>
      </c>
      <c r="D211" s="174">
        <f t="shared" si="16"/>
        <v>0.3288</v>
      </c>
      <c r="E211" s="185">
        <f t="shared" si="15"/>
        <v>0.023972519614323895</v>
      </c>
      <c r="F211" s="89">
        <f t="shared" si="17"/>
        <v>0.04851972092530721</v>
      </c>
      <c r="G211" s="89">
        <f t="shared" si="18"/>
        <v>0.07365538050119458</v>
      </c>
      <c r="H211" s="89">
        <f t="shared" si="19"/>
        <v>0.15273587607916506</v>
      </c>
      <c r="I211" s="181"/>
    </row>
    <row r="212" spans="1:9" ht="12.75">
      <c r="A212" s="8">
        <v>39630</v>
      </c>
      <c r="B212" s="8">
        <v>39721</v>
      </c>
      <c r="C212" s="189">
        <v>0.2151</v>
      </c>
      <c r="D212" s="174">
        <f t="shared" si="16"/>
        <v>0.32265</v>
      </c>
      <c r="E212" s="185">
        <f t="shared" si="15"/>
        <v>0.023576747162256773</v>
      </c>
      <c r="F212" s="89">
        <f t="shared" si="17"/>
        <v>0.04770935733126658</v>
      </c>
      <c r="G212" s="89">
        <f t="shared" si="18"/>
        <v>0.07241093594859649</v>
      </c>
      <c r="H212" s="89">
        <f t="shared" si="19"/>
        <v>0.1500652155421447</v>
      </c>
      <c r="I212" s="181"/>
    </row>
    <row r="213" spans="1:9" ht="12.75">
      <c r="A213" s="8">
        <v>39722</v>
      </c>
      <c r="B213" s="8">
        <v>39813</v>
      </c>
      <c r="C213" s="189">
        <v>0.2102</v>
      </c>
      <c r="D213" s="174">
        <f t="shared" si="16"/>
        <v>0.3153</v>
      </c>
      <c r="E213" s="185">
        <f t="shared" si="15"/>
        <v>0.02310153206436749</v>
      </c>
      <c r="F213" s="89">
        <f t="shared" si="17"/>
        <v>0.04673674491245583</v>
      </c>
      <c r="G213" s="89">
        <f t="shared" si="18"/>
        <v>0.07091796738800249</v>
      </c>
      <c r="H213" s="89">
        <f t="shared" si="19"/>
        <v>0.14686529287445094</v>
      </c>
      <c r="I213" s="181"/>
    </row>
    <row r="214" spans="1:9" ht="12.75">
      <c r="A214" s="190">
        <v>39814</v>
      </c>
      <c r="B214" s="190">
        <v>39903</v>
      </c>
      <c r="C214" s="191">
        <v>0.2047</v>
      </c>
      <c r="D214" s="174">
        <f t="shared" si="16"/>
        <v>0.30705</v>
      </c>
      <c r="E214" s="185">
        <f t="shared" si="15"/>
        <v>0.02256521902487041</v>
      </c>
      <c r="F214" s="89">
        <f t="shared" si="17"/>
        <v>0.04563962715938108</v>
      </c>
      <c r="G214" s="89">
        <f t="shared" si="18"/>
        <v>0.06923471436731621</v>
      </c>
      <c r="H214" s="89">
        <f t="shared" si="19"/>
        <v>0.14326287440815633</v>
      </c>
      <c r="I214" s="181"/>
    </row>
    <row r="215" spans="1:9" ht="12.75">
      <c r="A215" s="190">
        <v>39904</v>
      </c>
      <c r="B215" s="190">
        <v>39994</v>
      </c>
      <c r="C215" s="191">
        <v>0.2028</v>
      </c>
      <c r="D215" s="174">
        <f t="shared" si="16"/>
        <v>0.3042</v>
      </c>
      <c r="E215" s="185">
        <f t="shared" si="15"/>
        <v>0.022379225919199275</v>
      </c>
      <c r="F215" s="89">
        <f t="shared" si="17"/>
        <v>0.04525928159114101</v>
      </c>
      <c r="G215" s="89">
        <f t="shared" si="18"/>
        <v>0.0686513751980089</v>
      </c>
      <c r="H215" s="89">
        <f t="shared" si="19"/>
        <v>0.14201576171259567</v>
      </c>
      <c r="I215" s="181"/>
    </row>
    <row r="216" spans="1:9" ht="12.75">
      <c r="A216" s="190">
        <v>39995</v>
      </c>
      <c r="B216" s="190">
        <v>40086</v>
      </c>
      <c r="C216" s="191">
        <v>0.1865</v>
      </c>
      <c r="D216" s="174">
        <f t="shared" si="16"/>
        <v>0.27975</v>
      </c>
      <c r="E216" s="185">
        <f t="shared" si="15"/>
        <v>0.0207681126672552</v>
      </c>
      <c r="F216" s="89">
        <f t="shared" si="17"/>
        <v>0.041967539838270174</v>
      </c>
      <c r="G216" s="89">
        <f t="shared" si="18"/>
        <v>0.0636072391012541</v>
      </c>
      <c r="H216" s="89">
        <f t="shared" si="19"/>
        <v>0.13126035906859213</v>
      </c>
      <c r="I216" s="181"/>
    </row>
    <row r="217" spans="1:9" ht="12.75">
      <c r="A217" s="190">
        <v>40087</v>
      </c>
      <c r="B217" s="190">
        <v>40178</v>
      </c>
      <c r="C217" s="191">
        <v>0.1728</v>
      </c>
      <c r="D217" s="174">
        <f t="shared" si="16"/>
        <v>0.2592</v>
      </c>
      <c r="E217" s="185">
        <f t="shared" si="15"/>
        <v>0.01939201231831955</v>
      </c>
      <c r="F217" s="89">
        <f t="shared" si="17"/>
        <v>0.03916007477839312</v>
      </c>
      <c r="G217" s="89">
        <f t="shared" si="18"/>
        <v>0.05931147974920159</v>
      </c>
      <c r="H217" s="89">
        <f t="shared" si="19"/>
        <v>0.122140811128443</v>
      </c>
      <c r="I217" s="181"/>
    </row>
    <row r="218" spans="1:9" ht="12.75">
      <c r="A218" s="190">
        <v>40179</v>
      </c>
      <c r="B218" s="190">
        <v>40268</v>
      </c>
      <c r="C218" s="191">
        <v>0.1614</v>
      </c>
      <c r="D218" s="174">
        <f t="shared" si="16"/>
        <v>0.24209999999999998</v>
      </c>
      <c r="E218" s="185">
        <f t="shared" si="15"/>
        <v>0.01823115279216503</v>
      </c>
      <c r="F218" s="89">
        <f t="shared" si="17"/>
        <v>0.036794680516461176</v>
      </c>
      <c r="G218" s="89">
        <f t="shared" si="18"/>
        <v>0.05569664275106079</v>
      </c>
      <c r="H218" s="89">
        <f t="shared" si="19"/>
        <v>0.1144954015158608</v>
      </c>
      <c r="I218" s="181"/>
    </row>
    <row r="219" spans="1:9" ht="12.75">
      <c r="A219" s="190">
        <v>40269</v>
      </c>
      <c r="B219" s="190">
        <v>40359</v>
      </c>
      <c r="C219" s="191">
        <v>0.1531</v>
      </c>
      <c r="D219" s="174">
        <f t="shared" si="16"/>
        <v>0.22965000000000002</v>
      </c>
      <c r="E219" s="185">
        <f t="shared" si="15"/>
        <v>0.017376713266464616</v>
      </c>
      <c r="F219" s="89">
        <f t="shared" si="17"/>
        <v>0.035055376696874196</v>
      </c>
      <c r="G219" s="89">
        <f t="shared" si="18"/>
        <v>0.05304123719264853</v>
      </c>
      <c r="H219" s="89">
        <f t="shared" si="19"/>
        <v>0.10889584722822354</v>
      </c>
      <c r="I219" s="181"/>
    </row>
    <row r="220" spans="1:9" ht="12.75">
      <c r="A220" s="190">
        <v>40360</v>
      </c>
      <c r="B220" s="190">
        <v>40451</v>
      </c>
      <c r="C220" s="191">
        <v>0.1494</v>
      </c>
      <c r="D220" s="174">
        <f t="shared" si="16"/>
        <v>0.22410000000000002</v>
      </c>
      <c r="E220" s="185">
        <f t="shared" si="15"/>
        <v>0.016993260304198232</v>
      </c>
      <c r="F220" s="89">
        <f t="shared" si="17"/>
        <v>0.034275291504162864</v>
      </c>
      <c r="G220" s="89">
        <f t="shared" si="18"/>
        <v>0.051851000758893706</v>
      </c>
      <c r="H220" s="89">
        <f t="shared" si="19"/>
        <v>0.10639052779748615</v>
      </c>
      <c r="I220" s="181"/>
    </row>
    <row r="221" spans="1:9" ht="12.75">
      <c r="A221" s="190">
        <v>40452</v>
      </c>
      <c r="B221" s="190">
        <v>40543</v>
      </c>
      <c r="C221" s="191">
        <v>0.1421</v>
      </c>
      <c r="D221" s="174">
        <f t="shared" si="16"/>
        <v>0.21315</v>
      </c>
      <c r="E221" s="185">
        <f t="shared" si="15"/>
        <v>0.01623202101161847</v>
      </c>
      <c r="F221" s="89">
        <f t="shared" si="17"/>
        <v>0.032727520529358456</v>
      </c>
      <c r="G221" s="89">
        <f t="shared" si="18"/>
        <v>0.04949077534186741</v>
      </c>
      <c r="H221" s="89">
        <f t="shared" si="19"/>
        <v>0.10143088752767415</v>
      </c>
      <c r="I221" s="181"/>
    </row>
    <row r="222" spans="1:8" ht="13.5">
      <c r="A222" s="192">
        <v>40544</v>
      </c>
      <c r="B222" s="192">
        <v>40633</v>
      </c>
      <c r="C222" s="193">
        <v>0.1561</v>
      </c>
      <c r="D222" s="174">
        <f t="shared" si="16"/>
        <v>0.23414999999999997</v>
      </c>
      <c r="E222" s="185">
        <f t="shared" si="15"/>
        <v>0.017686458185695697</v>
      </c>
      <c r="F222" s="89">
        <f t="shared" si="17"/>
        <v>0.035685727174545656</v>
      </c>
      <c r="G222" s="89">
        <f t="shared" si="18"/>
        <v>0.054003339481740076</v>
      </c>
      <c r="H222" s="89">
        <f t="shared" si="19"/>
        <v>0.11092303963866024</v>
      </c>
    </row>
    <row r="223" spans="1:9" ht="12.75">
      <c r="A223" s="8">
        <v>40634</v>
      </c>
      <c r="B223" s="8">
        <v>40724</v>
      </c>
      <c r="C223" s="189">
        <v>0.1769</v>
      </c>
      <c r="D223" s="174">
        <f t="shared" si="16"/>
        <v>0.26535</v>
      </c>
      <c r="E223" s="185">
        <f aca="true" t="shared" si="20" ref="E223:E279">IF(D223="","",POWER((1+D223),(1/12))-1)</f>
        <v>0.01980598353135754</v>
      </c>
      <c r="F223" s="89">
        <f t="shared" si="17"/>
        <v>0.040004244046359494</v>
      </c>
      <c r="G223" s="89">
        <f t="shared" si="18"/>
        <v>0.06060255097648359</v>
      </c>
      <c r="H223" s="89">
        <f t="shared" si="19"/>
        <v>0.12487777113782461</v>
      </c>
      <c r="I223" s="181"/>
    </row>
    <row r="224" spans="1:9" ht="12.75">
      <c r="A224" s="8">
        <v>40725</v>
      </c>
      <c r="B224" s="8">
        <v>40816</v>
      </c>
      <c r="C224" s="189">
        <v>0.1863</v>
      </c>
      <c r="D224" s="174">
        <f t="shared" si="16"/>
        <v>0.27945</v>
      </c>
      <c r="E224" s="185">
        <f t="shared" si="20"/>
        <v>0.02074816975255822</v>
      </c>
      <c r="F224" s="89">
        <f t="shared" si="17"/>
        <v>0.04192682605319731</v>
      </c>
      <c r="G224" s="89">
        <f t="shared" si="18"/>
        <v>0.06354490070989316</v>
      </c>
      <c r="H224" s="89">
        <f t="shared" si="19"/>
        <v>0.1311277558260162</v>
      </c>
      <c r="I224" s="181"/>
    </row>
    <row r="225" spans="1:9" ht="12.75">
      <c r="A225" s="8">
        <v>40817</v>
      </c>
      <c r="B225" s="8">
        <v>40908</v>
      </c>
      <c r="C225" s="189">
        <v>0.1939</v>
      </c>
      <c r="D225" s="174">
        <f t="shared" si="16"/>
        <v>0.29085</v>
      </c>
      <c r="E225" s="185">
        <f t="shared" si="20"/>
        <v>0.02150300430459584</v>
      </c>
      <c r="F225" s="89">
        <f t="shared" si="17"/>
        <v>0.0434683878033153</v>
      </c>
      <c r="G225" s="89">
        <f t="shared" si="18"/>
        <v>0.0659060930379598</v>
      </c>
      <c r="H225" s="89">
        <f t="shared" si="19"/>
        <v>0.13615579917544762</v>
      </c>
      <c r="I225" s="181"/>
    </row>
    <row r="226" spans="1:9" ht="12.75">
      <c r="A226" s="8">
        <v>40909</v>
      </c>
      <c r="B226" s="8">
        <v>40999</v>
      </c>
      <c r="C226" s="189">
        <v>0.1992</v>
      </c>
      <c r="D226" s="174">
        <f t="shared" si="16"/>
        <v>0.29879999999999995</v>
      </c>
      <c r="E226" s="185">
        <f t="shared" si="20"/>
        <v>0.022025793890954715</v>
      </c>
      <c r="F226" s="89">
        <f t="shared" si="17"/>
        <v>0.044536723378436394</v>
      </c>
      <c r="G226" s="89">
        <f t="shared" si="18"/>
        <v>0.06754347395910298</v>
      </c>
      <c r="H226" s="89">
        <f t="shared" si="19"/>
        <v>0.13964906879267014</v>
      </c>
      <c r="I226" s="181"/>
    </row>
    <row r="227" spans="1:9" ht="12.75">
      <c r="A227" s="8">
        <v>41000</v>
      </c>
      <c r="B227" s="8">
        <v>41090</v>
      </c>
      <c r="C227" s="180">
        <v>0.2052</v>
      </c>
      <c r="D227" s="174">
        <f t="shared" si="16"/>
        <v>0.30779999999999996</v>
      </c>
      <c r="E227" s="185">
        <f t="shared" si="20"/>
        <v>0.02261410278917575</v>
      </c>
      <c r="F227" s="89">
        <f t="shared" si="17"/>
        <v>0.045739603223311054</v>
      </c>
      <c r="G227" s="89">
        <f t="shared" si="18"/>
        <v>0.0693880661013151</v>
      </c>
      <c r="H227" s="89">
        <f t="shared" si="19"/>
        <v>0.1435908359199105</v>
      </c>
      <c r="I227" s="181"/>
    </row>
    <row r="228" spans="1:9" ht="12.75">
      <c r="A228" s="8">
        <v>41091</v>
      </c>
      <c r="B228" s="8">
        <v>41182</v>
      </c>
      <c r="C228" s="180">
        <v>0.2086</v>
      </c>
      <c r="D228" s="174">
        <f t="shared" si="16"/>
        <v>0.3129</v>
      </c>
      <c r="E228" s="185">
        <f t="shared" si="20"/>
        <v>0.022945832503501462</v>
      </c>
      <c r="F228" s="89">
        <f t="shared" si="17"/>
        <v>0.04641817623628142</v>
      </c>
      <c r="G228" s="89">
        <f t="shared" si="18"/>
        <v>0.0704291124368186</v>
      </c>
      <c r="H228" s="89">
        <f t="shared" si="19"/>
        <v>0.1458184847522752</v>
      </c>
      <c r="I228" s="181"/>
    </row>
    <row r="229" spans="1:9" ht="12.75">
      <c r="A229" s="8">
        <v>41183</v>
      </c>
      <c r="B229" s="8">
        <v>41274</v>
      </c>
      <c r="C229" s="180">
        <v>0.2089</v>
      </c>
      <c r="D229" s="174">
        <f t="shared" si="16"/>
        <v>0.31335</v>
      </c>
      <c r="E229" s="185">
        <f t="shared" si="20"/>
        <v>0.022975046033702595</v>
      </c>
      <c r="F229" s="89">
        <f t="shared" si="17"/>
        <v>0.04647794480765577</v>
      </c>
      <c r="G229" s="89">
        <f t="shared" si="18"/>
        <v>0.07052082376286606</v>
      </c>
      <c r="H229" s="89">
        <f t="shared" si="19"/>
        <v>0.14601483410992544</v>
      </c>
      <c r="I229" s="181"/>
    </row>
    <row r="230" spans="1:9" ht="12.75">
      <c r="A230" s="8">
        <v>41275</v>
      </c>
      <c r="B230" s="8">
        <v>41364</v>
      </c>
      <c r="C230" s="180">
        <v>0.2075</v>
      </c>
      <c r="D230" s="174">
        <f t="shared" si="16"/>
        <v>0.31124999999999997</v>
      </c>
      <c r="E230" s="185">
        <f t="shared" si="20"/>
        <v>0.02283863763984728</v>
      </c>
      <c r="F230" s="89">
        <f t="shared" si="17"/>
        <v>0.04619887864893868</v>
      </c>
      <c r="G230" s="89">
        <f t="shared" si="18"/>
        <v>0.07009263573761637</v>
      </c>
      <c r="H230" s="89">
        <f t="shared" si="19"/>
        <v>0.14509824905987867</v>
      </c>
      <c r="I230" s="181"/>
    </row>
    <row r="231" spans="1:9" ht="12.75">
      <c r="A231" s="8">
        <v>41365</v>
      </c>
      <c r="B231" s="8">
        <v>41455</v>
      </c>
      <c r="C231" s="180">
        <v>0.2083</v>
      </c>
      <c r="D231" s="174">
        <f t="shared" si="16"/>
        <v>0.31245</v>
      </c>
      <c r="E231" s="185">
        <f t="shared" si="20"/>
        <v>0.022916609793260045</v>
      </c>
      <c r="F231" s="89">
        <f t="shared" si="17"/>
        <v>0.046358390590936605</v>
      </c>
      <c r="G231" s="89">
        <f t="shared" si="18"/>
        <v>0.07033737753201263</v>
      </c>
      <c r="H231" s="89">
        <f t="shared" si="19"/>
        <v>0.145622101742106</v>
      </c>
      <c r="I231" s="181"/>
    </row>
    <row r="232" spans="1:9" ht="12.75">
      <c r="A232" s="8">
        <v>41456</v>
      </c>
      <c r="B232" s="8">
        <v>41547</v>
      </c>
      <c r="C232" s="180">
        <v>0.2034</v>
      </c>
      <c r="D232" s="174">
        <f t="shared" si="16"/>
        <v>0.3051</v>
      </c>
      <c r="E232" s="185">
        <f t="shared" si="20"/>
        <v>0.022438000800601765</v>
      </c>
      <c r="F232" s="89">
        <f t="shared" si="17"/>
        <v>0.045379465481131254</v>
      </c>
      <c r="G232" s="89">
        <f t="shared" si="18"/>
        <v>0.06883569076452933</v>
      </c>
      <c r="H232" s="89">
        <f t="shared" si="19"/>
        <v>0.14240973385208866</v>
      </c>
      <c r="I232" s="181"/>
    </row>
    <row r="233" spans="1:9" ht="12.75">
      <c r="A233" s="8">
        <v>41548</v>
      </c>
      <c r="B233" s="8">
        <v>41639</v>
      </c>
      <c r="C233" s="180">
        <v>0.1985</v>
      </c>
      <c r="D233" s="174">
        <f t="shared" si="16"/>
        <v>0.29775</v>
      </c>
      <c r="E233" s="185">
        <f t="shared" si="20"/>
        <v>0.021956914610111067</v>
      </c>
      <c r="F233" s="89">
        <f t="shared" si="17"/>
        <v>0.044395935319417656</v>
      </c>
      <c r="G233" s="89">
        <f t="shared" si="18"/>
        <v>0.06732764769037303</v>
      </c>
      <c r="H233" s="89">
        <f t="shared" si="19"/>
        <v>0.13918830752426525</v>
      </c>
      <c r="I233" s="181"/>
    </row>
    <row r="234" spans="1:9" ht="12.75">
      <c r="A234" s="8">
        <v>41640</v>
      </c>
      <c r="B234" s="8">
        <v>41729</v>
      </c>
      <c r="C234" s="180">
        <v>0.1965</v>
      </c>
      <c r="D234" s="174">
        <f t="shared" si="16"/>
        <v>0.29475</v>
      </c>
      <c r="E234" s="185">
        <f t="shared" si="20"/>
        <v>0.021759834797641986</v>
      </c>
      <c r="F234" s="89">
        <f t="shared" si="17"/>
        <v>0.043993160005704635</v>
      </c>
      <c r="G234" s="89">
        <f t="shared" si="18"/>
        <v>0.06671027869729707</v>
      </c>
      <c r="H234" s="89">
        <f t="shared" si="19"/>
        <v>0.13787081867846496</v>
      </c>
      <c r="I234" s="181"/>
    </row>
    <row r="235" spans="1:10" ht="12.75">
      <c r="A235" s="8">
        <v>41730</v>
      </c>
      <c r="B235" s="8">
        <v>41820</v>
      </c>
      <c r="C235" s="180">
        <v>0.1963</v>
      </c>
      <c r="D235" s="174">
        <f t="shared" si="16"/>
        <v>0.29445</v>
      </c>
      <c r="E235" s="185">
        <f t="shared" si="20"/>
        <v>0.021740103800155453</v>
      </c>
      <c r="F235" s="89">
        <f t="shared" si="17"/>
        <v>0.04395283971355246</v>
      </c>
      <c r="G235" s="89">
        <f t="shared" si="18"/>
        <v>0.06664848281139224</v>
      </c>
      <c r="H235" s="89">
        <f t="shared" si="19"/>
        <v>0.13773898588384492</v>
      </c>
      <c r="I235" s="181"/>
      <c r="J235" s="196" t="s">
        <v>69</v>
      </c>
    </row>
    <row r="236" spans="1:8" ht="12.75">
      <c r="A236" s="8">
        <v>41821</v>
      </c>
      <c r="B236" s="8">
        <v>41912</v>
      </c>
      <c r="C236" s="180">
        <v>0.1933</v>
      </c>
      <c r="D236" s="174">
        <f t="shared" si="16"/>
        <v>0.28995</v>
      </c>
      <c r="E236" s="185">
        <f t="shared" si="20"/>
        <v>0.021443634727683625</v>
      </c>
      <c r="F236" s="89">
        <f t="shared" si="17"/>
        <v>0.04334709892570143</v>
      </c>
      <c r="G236" s="89">
        <f t="shared" si="18"/>
        <v>0.06572025300925244</v>
      </c>
      <c r="H236" s="89">
        <f t="shared" si="19"/>
        <v>0.13575965767410492</v>
      </c>
    </row>
    <row r="237" spans="1:8" ht="12.75">
      <c r="A237" s="8">
        <v>41913</v>
      </c>
      <c r="B237" s="8">
        <v>42004</v>
      </c>
      <c r="C237" s="180">
        <v>0.1917</v>
      </c>
      <c r="D237" s="174">
        <f t="shared" si="16"/>
        <v>0.28755000000000003</v>
      </c>
      <c r="E237" s="185">
        <f t="shared" si="20"/>
        <v>0.021285130025374244</v>
      </c>
      <c r="F237" s="89">
        <f t="shared" si="17"/>
        <v>0.04302331681094573</v>
      </c>
      <c r="G237" s="89">
        <f t="shared" si="18"/>
        <v>0.06522420372876381</v>
      </c>
      <c r="H237" s="89">
        <f t="shared" si="19"/>
        <v>0.1347026042095787</v>
      </c>
    </row>
    <row r="238" spans="1:8" ht="12.75">
      <c r="A238" s="8">
        <v>42005</v>
      </c>
      <c r="B238" s="8">
        <v>42094</v>
      </c>
      <c r="C238" s="180">
        <v>0.1921</v>
      </c>
      <c r="D238" s="174">
        <f t="shared" si="16"/>
        <v>0.28815</v>
      </c>
      <c r="E238" s="185">
        <f t="shared" si="20"/>
        <v>0.021324781575405183</v>
      </c>
      <c r="F238" s="89">
        <f t="shared" si="17"/>
        <v>0.04310430946004895</v>
      </c>
      <c r="G238" s="89">
        <f t="shared" si="18"/>
        <v>0.0653482810196484</v>
      </c>
      <c r="H238" s="89">
        <f t="shared" si="19"/>
        <v>0.13496695987151974</v>
      </c>
    </row>
    <row r="239" spans="1:8" ht="12.75">
      <c r="A239" s="8">
        <v>42095</v>
      </c>
      <c r="B239" s="8">
        <v>42185</v>
      </c>
      <c r="C239" s="180">
        <v>0.1937</v>
      </c>
      <c r="D239" s="174">
        <f t="shared" si="16"/>
        <v>0.29055000000000003</v>
      </c>
      <c r="E239" s="185">
        <f t="shared" si="20"/>
        <v>0.021483218662772696</v>
      </c>
      <c r="F239" s="89">
        <f t="shared" si="17"/>
        <v>0.043427966009657926</v>
      </c>
      <c r="G239" s="89">
        <f t="shared" si="18"/>
        <v>0.06584415716229541</v>
      </c>
      <c r="H239" s="89">
        <f t="shared" si="19"/>
        <v>0.13602376735700394</v>
      </c>
    </row>
    <row r="240" spans="1:8" ht="12.75">
      <c r="A240" s="8">
        <v>42186</v>
      </c>
      <c r="B240" s="8">
        <v>42277</v>
      </c>
      <c r="C240" s="180">
        <v>0.1926</v>
      </c>
      <c r="D240" s="174">
        <f t="shared" si="16"/>
        <v>0.2889</v>
      </c>
      <c r="E240" s="185">
        <f t="shared" si="20"/>
        <v>0.0213743222120113</v>
      </c>
      <c r="F240" s="89">
        <f t="shared" si="17"/>
        <v>0.04320550607404572</v>
      </c>
      <c r="G240" s="89">
        <f t="shared" si="18"/>
        <v>0.06550331669421672</v>
      </c>
      <c r="H240" s="89">
        <f t="shared" si="19"/>
        <v>0.13529731788637633</v>
      </c>
    </row>
    <row r="241" spans="1:8" ht="12.75">
      <c r="A241" s="8">
        <v>42217</v>
      </c>
      <c r="B241" s="8">
        <v>42369</v>
      </c>
      <c r="C241" s="180">
        <v>0.1926</v>
      </c>
      <c r="D241" s="174">
        <f t="shared" si="16"/>
        <v>0.2889</v>
      </c>
      <c r="E241" s="185">
        <f t="shared" si="20"/>
        <v>0.0213743222120113</v>
      </c>
      <c r="F241" s="89">
        <f t="shared" si="17"/>
        <v>0.04320550607404572</v>
      </c>
      <c r="G241" s="89">
        <f t="shared" si="18"/>
        <v>0.06550331669421672</v>
      </c>
      <c r="H241" s="89">
        <f t="shared" si="19"/>
        <v>0.13529731788637633</v>
      </c>
    </row>
    <row r="242" spans="1:8" ht="12.75">
      <c r="A242" s="8">
        <v>42370</v>
      </c>
      <c r="B242" s="8">
        <v>42460</v>
      </c>
      <c r="C242" s="180">
        <v>0.1968</v>
      </c>
      <c r="D242" s="174">
        <f t="shared" si="16"/>
        <v>0.2952</v>
      </c>
      <c r="E242" s="185">
        <f t="shared" si="20"/>
        <v>0.021789423437557742</v>
      </c>
      <c r="F242" s="89">
        <f t="shared" si="17"/>
        <v>0.044053625848856415</v>
      </c>
      <c r="G242" s="89">
        <f t="shared" si="18"/>
        <v>0.06680295239399459</v>
      </c>
      <c r="H242" s="89">
        <f t="shared" si="19"/>
        <v>0.1380685392365435</v>
      </c>
    </row>
    <row r="243" spans="1:8" ht="12.75">
      <c r="A243" s="8">
        <v>42461</v>
      </c>
      <c r="B243" s="8">
        <v>42551</v>
      </c>
      <c r="C243" s="180">
        <v>0.2054</v>
      </c>
      <c r="D243" s="174">
        <f t="shared" si="16"/>
        <v>0.3081</v>
      </c>
      <c r="E243" s="185">
        <f t="shared" si="20"/>
        <v>0.02263364909982224</v>
      </c>
      <c r="F243" s="89">
        <f t="shared" si="17"/>
        <v>0.04577958027121842</v>
      </c>
      <c r="G243" s="89">
        <f t="shared" si="18"/>
        <v>0.06944938832683656</v>
      </c>
      <c r="H243" s="89">
        <f t="shared" si="19"/>
        <v>0.14372199419264464</v>
      </c>
    </row>
    <row r="244" spans="1:8" ht="12.75">
      <c r="A244" s="8">
        <v>42552</v>
      </c>
      <c r="B244" s="8">
        <v>42643</v>
      </c>
      <c r="C244" s="180">
        <v>0.2134</v>
      </c>
      <c r="D244" s="174">
        <f t="shared" si="16"/>
        <v>0.3201</v>
      </c>
      <c r="E244" s="185">
        <f t="shared" si="20"/>
        <v>0.023412151466478903</v>
      </c>
      <c r="F244" s="89">
        <f t="shared" si="17"/>
        <v>0.04737243176924699</v>
      </c>
      <c r="G244" s="89">
        <f t="shared" si="18"/>
        <v>0.07189367378364286</v>
      </c>
      <c r="H244" s="89">
        <f t="shared" si="19"/>
        <v>0.14895604789739458</v>
      </c>
    </row>
    <row r="245" spans="1:8" ht="12.75">
      <c r="A245" s="8">
        <v>42644</v>
      </c>
      <c r="B245" s="8">
        <v>42735</v>
      </c>
      <c r="C245" s="180">
        <v>0.2199</v>
      </c>
      <c r="D245" s="174">
        <f t="shared" si="16"/>
        <v>0.32985000000000003</v>
      </c>
      <c r="E245" s="185">
        <f t="shared" si="20"/>
        <v>0.02403992265645094</v>
      </c>
      <c r="F245" s="89">
        <f t="shared" si="17"/>
        <v>0.04865776319423021</v>
      </c>
      <c r="G245" s="89">
        <f t="shared" si="18"/>
        <v>0.07386741471450642</v>
      </c>
      <c r="H245" s="89">
        <f t="shared" si="19"/>
        <v>0.15319122438561772</v>
      </c>
    </row>
    <row r="246" spans="1:8" ht="12.75">
      <c r="A246" s="8">
        <v>42736</v>
      </c>
      <c r="B246" s="8">
        <v>42825</v>
      </c>
      <c r="C246" s="180">
        <v>0.2234</v>
      </c>
      <c r="D246" s="174">
        <f t="shared" si="16"/>
        <v>0.33509999999999995</v>
      </c>
      <c r="E246" s="185">
        <f t="shared" si="20"/>
        <v>0.024376207843189057</v>
      </c>
      <c r="F246" s="89">
        <f t="shared" si="17"/>
        <v>0.049346615195192456</v>
      </c>
      <c r="G246" s="89">
        <f t="shared" si="18"/>
        <v>0.07492570638673746</v>
      </c>
      <c r="H246" s="89">
        <f t="shared" si="19"/>
        <v>0.15546527425102652</v>
      </c>
    </row>
    <row r="247" spans="1:8" ht="12.75">
      <c r="A247" s="8">
        <v>42826</v>
      </c>
      <c r="B247" s="8">
        <v>42916</v>
      </c>
      <c r="C247" s="180">
        <v>0.2233</v>
      </c>
      <c r="D247" s="174">
        <f t="shared" si="16"/>
        <v>0.33494999999999997</v>
      </c>
      <c r="E247" s="185">
        <f t="shared" si="20"/>
        <v>0.02436661653016814</v>
      </c>
      <c r="F247" s="89">
        <f t="shared" si="17"/>
        <v>0.04932696506146472</v>
      </c>
      <c r="G247" s="89">
        <f t="shared" si="18"/>
        <v>0.07489551283388263</v>
      </c>
      <c r="H247" s="89">
        <f t="shared" si="19"/>
        <v>0.1554003635104153</v>
      </c>
    </row>
    <row r="248" spans="1:8" ht="12.75">
      <c r="A248" s="8">
        <v>42917</v>
      </c>
      <c r="B248" s="195">
        <v>42978</v>
      </c>
      <c r="C248" s="180">
        <v>0.2198</v>
      </c>
      <c r="D248" s="174">
        <f t="shared" si="16"/>
        <v>0.3297</v>
      </c>
      <c r="E248" s="185">
        <f t="shared" si="20"/>
        <v>0.024030296637850723</v>
      </c>
      <c r="F248" s="89">
        <f t="shared" si="17"/>
        <v>0.04863804843220465</v>
      </c>
      <c r="G248" s="89">
        <f t="shared" si="18"/>
        <v>0.07383713180176765</v>
      </c>
      <c r="H248" s="89">
        <f t="shared" si="19"/>
        <v>0.1531261856362467</v>
      </c>
    </row>
    <row r="249" spans="1:8" ht="12.75">
      <c r="A249" s="8">
        <v>42979</v>
      </c>
      <c r="B249" s="8">
        <v>43008</v>
      </c>
      <c r="C249" s="180">
        <v>0.2148</v>
      </c>
      <c r="D249" s="174">
        <f t="shared" si="16"/>
        <v>0.3222</v>
      </c>
      <c r="E249" s="185">
        <f t="shared" si="20"/>
        <v>0.02354772201212363</v>
      </c>
      <c r="F249" s="89">
        <f t="shared" si="17"/>
        <v>0.04764993923620753</v>
      </c>
      <c r="G249" s="89">
        <f t="shared" si="18"/>
        <v>0.07231970877136007</v>
      </c>
      <c r="H249" s="89">
        <f t="shared" si="19"/>
        <v>0.14986955781949463</v>
      </c>
    </row>
    <row r="250" spans="1:8" ht="12.75">
      <c r="A250" s="8">
        <v>43009</v>
      </c>
      <c r="B250" s="8">
        <v>43039</v>
      </c>
      <c r="C250" s="180">
        <v>0.2115</v>
      </c>
      <c r="D250" s="174">
        <f t="shared" si="16"/>
        <v>0.31725</v>
      </c>
      <c r="E250" s="185">
        <f t="shared" si="20"/>
        <v>0.023227846316473233</v>
      </c>
      <c r="F250" s="89">
        <f t="shared" si="17"/>
        <v>0.04699522547744839</v>
      </c>
      <c r="G250" s="89">
        <f t="shared" si="18"/>
        <v>0.07131466966891997</v>
      </c>
      <c r="H250" s="89">
        <f t="shared" si="19"/>
        <v>0.14771512144782695</v>
      </c>
    </row>
    <row r="251" spans="1:8" ht="12.75">
      <c r="A251" s="8">
        <v>43040</v>
      </c>
      <c r="B251" s="8">
        <v>43069</v>
      </c>
      <c r="C251" s="180">
        <v>0.2096</v>
      </c>
      <c r="D251" s="174">
        <f t="shared" si="16"/>
        <v>0.3144</v>
      </c>
      <c r="E251" s="185">
        <f t="shared" si="20"/>
        <v>0.023043175271197036</v>
      </c>
      <c r="F251" s="89">
        <f t="shared" si="17"/>
        <v>0.0466173384689732</v>
      </c>
      <c r="G251" s="89">
        <f t="shared" si="18"/>
        <v>0.0707347252411874</v>
      </c>
      <c r="H251" s="89">
        <f t="shared" si="19"/>
        <v>0.14647285183732106</v>
      </c>
    </row>
    <row r="252" spans="1:8" ht="12.75">
      <c r="A252" s="8">
        <v>43070</v>
      </c>
      <c r="B252" s="8">
        <v>43100</v>
      </c>
      <c r="C252" s="180">
        <v>0.2077</v>
      </c>
      <c r="D252" s="174">
        <f t="shared" si="16"/>
        <v>0.31155</v>
      </c>
      <c r="E252" s="185">
        <f t="shared" si="20"/>
        <v>0.022858136808515228</v>
      </c>
      <c r="F252" s="89">
        <f t="shared" si="17"/>
        <v>0.04623876803538751</v>
      </c>
      <c r="G252" s="89">
        <f t="shared" si="18"/>
        <v>0.07015383692951294</v>
      </c>
      <c r="H252" s="89">
        <f t="shared" si="19"/>
        <v>0.1452292346949584</v>
      </c>
    </row>
    <row r="253" spans="1:8" ht="12.75">
      <c r="A253" s="8">
        <v>43101</v>
      </c>
      <c r="B253" s="8">
        <v>43131</v>
      </c>
      <c r="C253" s="180">
        <v>0.2069</v>
      </c>
      <c r="D253" s="174">
        <f t="shared" si="16"/>
        <v>0.31035</v>
      </c>
      <c r="E253" s="185">
        <f t="shared" si="20"/>
        <v>0.022780115587483163</v>
      </c>
      <c r="F253" s="89">
        <f t="shared" si="17"/>
        <v>0.0460791648411456</v>
      </c>
      <c r="G253" s="89">
        <f t="shared" si="18"/>
        <v>0.06990896912988487</v>
      </c>
      <c r="H253" s="89">
        <f t="shared" si="19"/>
        <v>0.14470520222457273</v>
      </c>
    </row>
    <row r="254" spans="1:8" ht="12.75">
      <c r="A254" s="8">
        <v>43132</v>
      </c>
      <c r="B254" s="8">
        <v>43159</v>
      </c>
      <c r="C254" s="180">
        <v>0.2101</v>
      </c>
      <c r="D254" s="174">
        <f t="shared" si="16"/>
        <v>0.31515000000000004</v>
      </c>
      <c r="E254" s="185">
        <f t="shared" si="20"/>
        <v>0.023091808474569486</v>
      </c>
      <c r="F254" s="89">
        <f t="shared" si="17"/>
        <v>0.046716848567764924</v>
      </c>
      <c r="G254" s="89">
        <f t="shared" si="18"/>
        <v>0.07088743356199667</v>
      </c>
      <c r="H254" s="89">
        <f t="shared" si="19"/>
        <v>0.1467998953609997</v>
      </c>
    </row>
    <row r="255" spans="1:8" ht="12.75">
      <c r="A255" s="8">
        <v>43160</v>
      </c>
      <c r="B255" s="8">
        <v>43190</v>
      </c>
      <c r="C255" s="180">
        <v>0.2068</v>
      </c>
      <c r="D255" s="174">
        <f t="shared" si="16"/>
        <v>0.31020000000000003</v>
      </c>
      <c r="E255" s="185">
        <f t="shared" si="20"/>
        <v>0.022770358330055807</v>
      </c>
      <c r="F255" s="89">
        <f t="shared" si="17"/>
        <v>0.04605920587859047</v>
      </c>
      <c r="G255" s="89">
        <f t="shared" si="18"/>
        <v>0.0698783488308996</v>
      </c>
      <c r="H255" s="89">
        <f t="shared" si="19"/>
        <v>0.144639681297132</v>
      </c>
    </row>
    <row r="256" spans="1:8" ht="12.75">
      <c r="A256" s="8">
        <v>43191</v>
      </c>
      <c r="B256" s="8">
        <v>43220</v>
      </c>
      <c r="C256" s="180">
        <v>0.2048</v>
      </c>
      <c r="D256" s="174">
        <f t="shared" si="16"/>
        <v>0.30720000000000003</v>
      </c>
      <c r="E256" s="185">
        <f t="shared" si="20"/>
        <v>0.02257499783437167</v>
      </c>
      <c r="F256" s="89">
        <f t="shared" si="17"/>
        <v>0.045659626195964975</v>
      </c>
      <c r="G256" s="89">
        <f t="shared" si="18"/>
        <v>0.06926538999282883</v>
      </c>
      <c r="H256" s="89">
        <f t="shared" si="19"/>
        <v>0.14332847423651618</v>
      </c>
    </row>
    <row r="257" spans="1:8" ht="12.75">
      <c r="A257" s="8">
        <v>43221</v>
      </c>
      <c r="B257" s="8">
        <v>43251</v>
      </c>
      <c r="C257" s="180">
        <v>0.2044</v>
      </c>
      <c r="D257" s="174">
        <f t="shared" si="16"/>
        <v>0.3066</v>
      </c>
      <c r="E257" s="185">
        <f t="shared" si="20"/>
        <v>0.022535876422826506</v>
      </c>
      <c r="F257" s="89">
        <f t="shared" si="17"/>
        <v>0.04557961857179804</v>
      </c>
      <c r="G257" s="89">
        <f t="shared" si="18"/>
        <v>0.06914267164615806</v>
      </c>
      <c r="H257" s="89">
        <f t="shared" si="19"/>
        <v>0.14306605233468472</v>
      </c>
    </row>
    <row r="258" spans="1:8" ht="12.75">
      <c r="A258" s="8">
        <v>43252</v>
      </c>
      <c r="B258" s="8">
        <v>43281</v>
      </c>
      <c r="C258" s="180">
        <v>0.2048</v>
      </c>
      <c r="D258" s="174">
        <f t="shared" si="16"/>
        <v>0.30720000000000003</v>
      </c>
      <c r="E258" s="185">
        <f t="shared" si="20"/>
        <v>0.02257499783437167</v>
      </c>
      <c r="F258" s="89">
        <f t="shared" si="17"/>
        <v>0.045659626195964975</v>
      </c>
      <c r="G258" s="89">
        <f t="shared" si="18"/>
        <v>0.06926538999282883</v>
      </c>
      <c r="H258" s="89">
        <f t="shared" si="19"/>
        <v>0.14332847423651618</v>
      </c>
    </row>
    <row r="259" spans="1:8" ht="12.75">
      <c r="A259" s="8">
        <v>43282</v>
      </c>
      <c r="B259" s="8">
        <v>43312</v>
      </c>
      <c r="C259" s="180">
        <v>0.2003</v>
      </c>
      <c r="D259" s="174">
        <f t="shared" si="16"/>
        <v>0.30045</v>
      </c>
      <c r="E259" s="185">
        <f t="shared" si="20"/>
        <v>0.02213392969916317</v>
      </c>
      <c r="F259" s="89">
        <f t="shared" si="17"/>
        <v>0.044757770242253914</v>
      </c>
      <c r="G259" s="89">
        <f t="shared" si="18"/>
        <v>0.06788236528145064</v>
      </c>
      <c r="H259" s="89">
        <f t="shared" si="19"/>
        <v>0.14037274607910555</v>
      </c>
    </row>
    <row r="260" spans="1:8" ht="12.75">
      <c r="A260" s="8">
        <v>43313</v>
      </c>
      <c r="B260" s="8">
        <v>43343</v>
      </c>
      <c r="C260" s="180">
        <v>0.1994</v>
      </c>
      <c r="D260" s="174">
        <f t="shared" si="16"/>
        <v>0.2991</v>
      </c>
      <c r="E260" s="185">
        <f t="shared" si="20"/>
        <v>0.022045464310016527</v>
      </c>
      <c r="F260" s="89">
        <f t="shared" si="17"/>
        <v>0.044576931116677265</v>
      </c>
      <c r="G260" s="89">
        <f t="shared" si="18"/>
        <v>0.06760511457067664</v>
      </c>
      <c r="H260" s="89">
        <f t="shared" si="19"/>
        <v>0.13978068065746752</v>
      </c>
    </row>
    <row r="261" spans="1:8" ht="12.75">
      <c r="A261" s="8">
        <v>43344</v>
      </c>
      <c r="B261" s="8">
        <v>43373</v>
      </c>
      <c r="C261" s="180">
        <v>0.1981</v>
      </c>
      <c r="D261" s="174">
        <f t="shared" si="16"/>
        <v>0.29715</v>
      </c>
      <c r="E261" s="185">
        <f t="shared" si="20"/>
        <v>0.021917532081249247</v>
      </c>
      <c r="F261" s="89">
        <f t="shared" si="17"/>
        <v>0.044315442375031155</v>
      </c>
      <c r="G261" s="89">
        <f t="shared" si="18"/>
        <v>0.06720425958623011</v>
      </c>
      <c r="H261" s="89">
        <f t="shared" si="19"/>
        <v>0.13892493167899356</v>
      </c>
    </row>
    <row r="262" spans="1:8" ht="12.75">
      <c r="A262" s="8">
        <v>43374</v>
      </c>
      <c r="B262" s="8">
        <v>43404</v>
      </c>
      <c r="C262" s="180">
        <v>0.1963</v>
      </c>
      <c r="D262" s="174">
        <f t="shared" si="16"/>
        <v>0.29445</v>
      </c>
      <c r="E262" s="185">
        <f t="shared" si="20"/>
        <v>0.021740103800155453</v>
      </c>
      <c r="F262" s="89">
        <f t="shared" si="17"/>
        <v>0.04395283971355246</v>
      </c>
      <c r="G262" s="89">
        <f t="shared" si="18"/>
        <v>0.06664848281139224</v>
      </c>
      <c r="H262" s="89">
        <f t="shared" si="19"/>
        <v>0.13773898588384492</v>
      </c>
    </row>
    <row r="263" spans="1:8" ht="12.75">
      <c r="A263" s="8">
        <v>43405</v>
      </c>
      <c r="B263" s="8">
        <v>43434</v>
      </c>
      <c r="C263" s="180">
        <v>0.1949</v>
      </c>
      <c r="D263" s="174">
        <f t="shared" si="16"/>
        <v>0.29235</v>
      </c>
      <c r="E263" s="182">
        <f t="shared" si="20"/>
        <v>0.02160186933158159</v>
      </c>
      <c r="F263" s="53">
        <f t="shared" si="17"/>
        <v>0.04367037942178187</v>
      </c>
      <c r="G263" s="53">
        <f t="shared" si="18"/>
        <v>0.0662156105832934</v>
      </c>
      <c r="H263" s="89">
        <f t="shared" si="19"/>
        <v>0.136815728251505</v>
      </c>
    </row>
    <row r="264" spans="1:8" ht="12.75">
      <c r="A264" s="8">
        <v>43435</v>
      </c>
      <c r="B264" s="8">
        <v>43465</v>
      </c>
      <c r="C264" s="180">
        <v>0.194</v>
      </c>
      <c r="D264" s="174">
        <f t="shared" si="16"/>
        <v>0.29100000000000004</v>
      </c>
      <c r="E264" s="182">
        <f t="shared" si="20"/>
        <v>0.021512895544899102</v>
      </c>
      <c r="F264" s="53">
        <f t="shared" si="17"/>
        <v>0.043488595764523685</v>
      </c>
      <c r="G264" s="53">
        <f t="shared" si="18"/>
        <v>0.0659370569274993</v>
      </c>
      <c r="H264" s="53">
        <f t="shared" si="19"/>
        <v>0.13622180933125905</v>
      </c>
    </row>
    <row r="265" spans="1:8" ht="12.75">
      <c r="A265" s="8">
        <v>43466</v>
      </c>
      <c r="B265" s="8">
        <v>43496</v>
      </c>
      <c r="C265" s="180">
        <v>0.1916</v>
      </c>
      <c r="D265" s="174">
        <f t="shared" si="16"/>
        <v>0.2874</v>
      </c>
      <c r="E265" s="182">
        <f t="shared" si="20"/>
        <v>0.02127521449135017</v>
      </c>
      <c r="F265" s="53">
        <f t="shared" si="17"/>
        <v>0.043003063734353475</v>
      </c>
      <c r="G265" s="53">
        <f t="shared" si="18"/>
        <v>0.0651931776304373</v>
      </c>
      <c r="H265" s="53">
        <f t="shared" si="19"/>
        <v>0.1346365056704284</v>
      </c>
    </row>
    <row r="266" spans="1:8" ht="12.75">
      <c r="A266" s="8">
        <v>43497</v>
      </c>
      <c r="B266" s="8">
        <v>43524</v>
      </c>
      <c r="C266" s="180">
        <v>0.197</v>
      </c>
      <c r="D266" s="174">
        <f t="shared" si="16"/>
        <v>0.2955</v>
      </c>
      <c r="E266" s="182">
        <f t="shared" si="20"/>
        <v>0.021809143962671307</v>
      </c>
      <c r="F266" s="53">
        <f t="shared" si="17"/>
        <v>0.04409392668572698</v>
      </c>
      <c r="G266" s="53">
        <f t="shared" si="18"/>
        <v>0.06686472144336686</v>
      </c>
      <c r="H266" s="53">
        <f t="shared" si="19"/>
        <v>0.1382003338604325</v>
      </c>
    </row>
    <row r="267" spans="1:8" ht="12.75">
      <c r="A267" s="8">
        <v>43525</v>
      </c>
      <c r="B267" s="8">
        <v>43555</v>
      </c>
      <c r="C267" s="180">
        <v>0.193</v>
      </c>
      <c r="D267" s="174">
        <f t="shared" si="16"/>
        <v>0.2895</v>
      </c>
      <c r="E267" s="182">
        <f t="shared" si="20"/>
        <v>0.02141393569895156</v>
      </c>
      <c r="F267" s="53">
        <f t="shared" si="17"/>
        <v>0.04328642804002181</v>
      </c>
      <c r="G267" s="53">
        <f t="shared" si="18"/>
        <v>0.06562729652565968</v>
      </c>
      <c r="H267" s="53">
        <f t="shared" si="19"/>
        <v>0.1355615351005861</v>
      </c>
    </row>
    <row r="268" spans="1:8" ht="12.75">
      <c r="A268" s="8">
        <v>43556</v>
      </c>
      <c r="B268" s="8">
        <v>43585</v>
      </c>
      <c r="C268" s="180">
        <v>0.1932</v>
      </c>
      <c r="D268" s="174">
        <f t="shared" si="16"/>
        <v>0.2898</v>
      </c>
      <c r="E268" s="182">
        <f t="shared" si="20"/>
        <v>0.02143373610682331</v>
      </c>
      <c r="F268" s="53">
        <f t="shared" si="17"/>
        <v>0.04332687725714357</v>
      </c>
      <c r="G268" s="53">
        <f t="shared" si="18"/>
        <v>0.06568927021742943</v>
      </c>
      <c r="H268" s="53">
        <f t="shared" si="19"/>
        <v>0.1356936206565571</v>
      </c>
    </row>
    <row r="269" spans="1:8" ht="12.75">
      <c r="A269" s="8">
        <v>43586</v>
      </c>
      <c r="B269" s="8">
        <v>43616</v>
      </c>
      <c r="C269" s="180">
        <v>0.1934</v>
      </c>
      <c r="D269" s="174">
        <f t="shared" si="16"/>
        <v>0.29009999999999997</v>
      </c>
      <c r="E269" s="182">
        <f t="shared" si="20"/>
        <v>0.021453532293473465</v>
      </c>
      <c r="F269" s="53">
        <f t="shared" si="17"/>
        <v>0.04336731863481402</v>
      </c>
      <c r="G269" s="53">
        <f t="shared" si="18"/>
        <v>0.0657512330991008</v>
      </c>
      <c r="H269" s="53">
        <f t="shared" si="19"/>
        <v>0.13582569085225393</v>
      </c>
    </row>
    <row r="270" spans="1:8" ht="12.75">
      <c r="A270" s="8">
        <v>43617</v>
      </c>
      <c r="B270" s="8">
        <v>43646</v>
      </c>
      <c r="C270" s="180">
        <v>0.193</v>
      </c>
      <c r="D270" s="174">
        <f t="shared" si="16"/>
        <v>0.2895</v>
      </c>
      <c r="E270" s="182">
        <f t="shared" si="20"/>
        <v>0.02141393569895156</v>
      </c>
      <c r="F270" s="53">
        <f t="shared" si="17"/>
        <v>0.04328642804002181</v>
      </c>
      <c r="G270" s="53">
        <f t="shared" si="18"/>
        <v>0.06562729652565968</v>
      </c>
      <c r="H270" s="53">
        <f t="shared" si="19"/>
        <v>0.1355615351005861</v>
      </c>
    </row>
    <row r="271" spans="1:8" ht="12.75">
      <c r="A271" s="8">
        <v>43647</v>
      </c>
      <c r="B271" s="8">
        <v>43677</v>
      </c>
      <c r="C271" s="180">
        <v>0.1928</v>
      </c>
      <c r="D271" s="174">
        <f t="shared" si="16"/>
        <v>0.2892</v>
      </c>
      <c r="E271" s="182">
        <f t="shared" si="20"/>
        <v>0.021394131067975497</v>
      </c>
      <c r="F271" s="53">
        <f t="shared" si="17"/>
        <v>0.04324597098010452</v>
      </c>
      <c r="G271" s="53">
        <f t="shared" si="18"/>
        <v>0.0655653120193902</v>
      </c>
      <c r="H271" s="53">
        <f t="shared" si="19"/>
        <v>0.13542943417898057</v>
      </c>
    </row>
    <row r="272" spans="1:8" ht="12.75">
      <c r="A272" s="8">
        <v>43678</v>
      </c>
      <c r="B272" s="8">
        <v>43708</v>
      </c>
      <c r="C272" s="180">
        <v>0.1932</v>
      </c>
      <c r="D272" s="174">
        <f t="shared" si="16"/>
        <v>0.2898</v>
      </c>
      <c r="E272" s="182">
        <f t="shared" si="20"/>
        <v>0.02143373610682331</v>
      </c>
      <c r="F272" s="53">
        <f t="shared" si="17"/>
        <v>0.04332687725714357</v>
      </c>
      <c r="G272" s="53">
        <f t="shared" si="18"/>
        <v>0.06568927021742943</v>
      </c>
      <c r="H272" s="53">
        <f t="shared" si="19"/>
        <v>0.1356936206565571</v>
      </c>
    </row>
    <row r="273" spans="1:8" ht="12.75">
      <c r="A273" s="8">
        <v>43709</v>
      </c>
      <c r="B273" s="8">
        <v>43738</v>
      </c>
      <c r="C273" s="180">
        <v>0.1932</v>
      </c>
      <c r="D273" s="174">
        <f t="shared" si="16"/>
        <v>0.2898</v>
      </c>
      <c r="E273" s="182">
        <f t="shared" si="20"/>
        <v>0.02143373610682331</v>
      </c>
      <c r="F273" s="53">
        <f t="shared" si="17"/>
        <v>0.04332687725714357</v>
      </c>
      <c r="G273" s="53">
        <f t="shared" si="18"/>
        <v>0.06568927021742943</v>
      </c>
      <c r="H273" s="53">
        <f t="shared" si="19"/>
        <v>0.1356936206565571</v>
      </c>
    </row>
    <row r="274" spans="1:8" ht="12.75">
      <c r="A274" s="8">
        <v>43739</v>
      </c>
      <c r="B274" s="8">
        <v>43769</v>
      </c>
      <c r="C274" s="180">
        <v>0.191</v>
      </c>
      <c r="D274" s="174">
        <f t="shared" si="16"/>
        <v>0.2865</v>
      </c>
      <c r="E274" s="182">
        <f t="shared" si="20"/>
        <v>0.02121569903825793</v>
      </c>
      <c r="F274" s="53">
        <f t="shared" si="17"/>
        <v>0.0428815039621977</v>
      </c>
      <c r="G274" s="53">
        <f t="shared" si="18"/>
        <v>0.06500696408282547</v>
      </c>
      <c r="H274" s="53">
        <f t="shared" si="19"/>
        <v>0.13423983354491664</v>
      </c>
    </row>
    <row r="275" spans="1:8" ht="12.75">
      <c r="A275" s="8">
        <v>43770</v>
      </c>
      <c r="B275" s="8">
        <v>43799</v>
      </c>
      <c r="C275" s="180">
        <v>0.1903</v>
      </c>
      <c r="D275" s="174">
        <f t="shared" si="16"/>
        <v>0.28545</v>
      </c>
      <c r="E275" s="182">
        <f t="shared" si="20"/>
        <v>0.021146216086632474</v>
      </c>
      <c r="F275" s="53">
        <f t="shared" si="17"/>
        <v>0.04273959462804755</v>
      </c>
      <c r="G275" s="53">
        <f t="shared" si="18"/>
        <v>0.06478959141814</v>
      </c>
      <c r="H275" s="53">
        <f t="shared" si="19"/>
        <v>0.13377687399240945</v>
      </c>
    </row>
    <row r="276" spans="1:8" ht="12.75">
      <c r="A276" s="8">
        <v>43800</v>
      </c>
      <c r="B276" s="8">
        <v>43830</v>
      </c>
      <c r="C276" s="180">
        <v>0.1891</v>
      </c>
      <c r="D276" s="174">
        <f t="shared" si="16"/>
        <v>0.28364999999999996</v>
      </c>
      <c r="E276" s="182">
        <f t="shared" si="20"/>
        <v>0.02102698132372427</v>
      </c>
      <c r="F276" s="53">
        <f t="shared" si="17"/>
        <v>0.042496096591037036</v>
      </c>
      <c r="G276" s="53">
        <f t="shared" si="18"/>
        <v>0.06441664254411217</v>
      </c>
      <c r="H276" s="53">
        <f t="shared" si="19"/>
        <v>0.13298278892488025</v>
      </c>
    </row>
    <row r="277" spans="1:8" ht="12.75">
      <c r="A277" s="8">
        <v>43831</v>
      </c>
      <c r="B277" s="8">
        <v>43861</v>
      </c>
      <c r="C277" s="180">
        <v>0.1877</v>
      </c>
      <c r="D277" s="174">
        <f t="shared" si="16"/>
        <v>0.28155</v>
      </c>
      <c r="E277" s="182">
        <f t="shared" si="20"/>
        <v>0.020887680238021122</v>
      </c>
      <c r="F277" s="53">
        <f t="shared" si="17"/>
        <v>0.04221165566176799</v>
      </c>
      <c r="G277" s="53">
        <f t="shared" si="18"/>
        <v>0.06398103946556932</v>
      </c>
      <c r="H277" s="53">
        <f t="shared" si="19"/>
        <v>0.1320556523422336</v>
      </c>
    </row>
    <row r="278" spans="1:8" ht="12.75">
      <c r="A278" s="8">
        <v>43862</v>
      </c>
      <c r="B278" s="8">
        <v>43890</v>
      </c>
      <c r="C278" s="180">
        <v>0.1906</v>
      </c>
      <c r="D278" s="174">
        <f t="shared" si="16"/>
        <v>0.2859</v>
      </c>
      <c r="E278" s="182">
        <f t="shared" si="20"/>
        <v>0.02117600086268867</v>
      </c>
      <c r="F278" s="53">
        <f t="shared" si="17"/>
        <v>0.04280042473791412</v>
      </c>
      <c r="G278" s="53">
        <f t="shared" si="18"/>
        <v>0.06488276743177623</v>
      </c>
      <c r="H278" s="53">
        <f t="shared" si="19"/>
        <v>0.13397530837315852</v>
      </c>
    </row>
    <row r="279" spans="1:8" ht="12.75">
      <c r="A279" s="8">
        <v>43891</v>
      </c>
      <c r="B279" s="8"/>
      <c r="C279" s="180">
        <v>0.1895</v>
      </c>
      <c r="D279" s="174">
        <f t="shared" si="16"/>
        <v>0.28425</v>
      </c>
      <c r="E279" s="182">
        <f t="shared" si="20"/>
        <v>0.021066743264638976</v>
      </c>
      <c r="F279" s="53">
        <f t="shared" si="17"/>
        <v>0.04257729420105605</v>
      </c>
      <c r="G279" s="53">
        <f t="shared" si="18"/>
        <v>0.06454100239153182</v>
      </c>
      <c r="H279" s="53">
        <f t="shared" si="19"/>
        <v>0.13324754577276732</v>
      </c>
    </row>
    <row r="280" spans="1:2" ht="12.75">
      <c r="A280" s="8"/>
      <c r="B280" s="8"/>
    </row>
    <row r="281" spans="1:2" ht="12.75">
      <c r="A281" s="8"/>
      <c r="B281" s="8"/>
    </row>
    <row r="282" spans="1:2" ht="12.75">
      <c r="A282" s="8"/>
      <c r="B282" s="8"/>
    </row>
    <row r="283" spans="1:2" ht="12.75">
      <c r="A283" s="8"/>
      <c r="B283" s="8"/>
    </row>
    <row r="284" spans="1:2" ht="12.75">
      <c r="A284" s="8"/>
      <c r="B284" s="8"/>
    </row>
    <row r="285" spans="1:2" ht="12.75">
      <c r="A285" s="8"/>
      <c r="B285" s="8"/>
    </row>
    <row r="286" spans="1:2" ht="12.75">
      <c r="A286" s="8"/>
      <c r="B286" s="8"/>
    </row>
    <row r="287" spans="1:2" ht="12.75">
      <c r="A287" s="8"/>
      <c r="B287" s="8"/>
    </row>
    <row r="288" spans="1:2" ht="12.75">
      <c r="A288" s="8"/>
      <c r="B288" s="8"/>
    </row>
    <row r="289" spans="1:2" ht="12.75">
      <c r="A289" s="8"/>
      <c r="B289" s="8"/>
    </row>
    <row r="290" spans="1:2" ht="12.75">
      <c r="A290" s="8"/>
      <c r="B290" s="8"/>
    </row>
    <row r="291" spans="1:2" ht="12.75">
      <c r="A291" s="8"/>
      <c r="B291" s="8"/>
    </row>
    <row r="292" spans="1:2" ht="12.75">
      <c r="A292" s="8"/>
      <c r="B292" s="8"/>
    </row>
    <row r="293" spans="1:2" ht="12.75">
      <c r="A293" s="8"/>
      <c r="B293" s="8"/>
    </row>
    <row r="294" spans="1:2" ht="12.75">
      <c r="A294" s="8"/>
      <c r="B294" s="8"/>
    </row>
    <row r="295" spans="1:2" ht="12.75">
      <c r="A295" s="8"/>
      <c r="B295" s="8"/>
    </row>
    <row r="296" spans="1:2" ht="12.75">
      <c r="A296" s="8"/>
      <c r="B296" s="8"/>
    </row>
    <row r="297" spans="1:2" ht="12.75">
      <c r="A297" s="8"/>
      <c r="B297" s="8"/>
    </row>
    <row r="298" spans="1:2" ht="12.75">
      <c r="A298" s="8"/>
      <c r="B298" s="8"/>
    </row>
    <row r="299" spans="1:2" ht="12.75">
      <c r="A299" s="8"/>
      <c r="B299" s="8"/>
    </row>
    <row r="300" spans="1:2" ht="12.75">
      <c r="A300" s="8"/>
      <c r="B300" s="8"/>
    </row>
    <row r="301" spans="1:2" ht="12.75">
      <c r="A301" s="8"/>
      <c r="B301" s="8"/>
    </row>
    <row r="302" spans="1:2" ht="12.75">
      <c r="A302" s="8"/>
      <c r="B302" s="8"/>
    </row>
    <row r="303" spans="1:2" ht="12.75">
      <c r="A303" s="8"/>
      <c r="B303" s="8"/>
    </row>
    <row r="304" spans="1:2" ht="12.75">
      <c r="A304" s="8"/>
      <c r="B304" s="8"/>
    </row>
    <row r="305" spans="1:2" ht="12.75">
      <c r="A305" s="8"/>
      <c r="B305" s="8"/>
    </row>
    <row r="306" spans="1:2" ht="12.75">
      <c r="A306" s="8"/>
      <c r="B306" s="8"/>
    </row>
    <row r="307" spans="1:2" ht="12.75">
      <c r="A307" s="8"/>
      <c r="B307" s="8"/>
    </row>
    <row r="308" spans="1:2" ht="12.75">
      <c r="A308" s="8"/>
      <c r="B308" s="8"/>
    </row>
    <row r="309" spans="1:2" ht="12.75">
      <c r="A309" s="8"/>
      <c r="B309" s="8"/>
    </row>
    <row r="310" spans="1:2" ht="12.75">
      <c r="A310" s="8"/>
      <c r="B310" s="8"/>
    </row>
    <row r="311" spans="1:2" ht="12.75">
      <c r="A311" s="8"/>
      <c r="B311" s="8"/>
    </row>
    <row r="312" spans="1:2" ht="12.75">
      <c r="A312" s="8"/>
      <c r="B312" s="8"/>
    </row>
    <row r="313" spans="1:2" ht="12.75">
      <c r="A313" s="8"/>
      <c r="B313" s="8"/>
    </row>
    <row r="314" spans="1:2" ht="12.75">
      <c r="A314" s="8"/>
      <c r="B314" s="8"/>
    </row>
    <row r="315" spans="1:2" ht="12.75">
      <c r="A315" s="8"/>
      <c r="B315" s="8"/>
    </row>
    <row r="316" spans="1:2" ht="12.75">
      <c r="A316" s="8"/>
      <c r="B316" s="8"/>
    </row>
    <row r="317" spans="1:2" ht="12.75">
      <c r="A317" s="8"/>
      <c r="B317" s="8"/>
    </row>
    <row r="318" spans="1:2" ht="12.75">
      <c r="A318" s="8"/>
      <c r="B318" s="8"/>
    </row>
    <row r="319" spans="1:2" ht="12.75">
      <c r="A319" s="8"/>
      <c r="B319" s="8"/>
    </row>
    <row r="320" spans="1:2" ht="12.75">
      <c r="A320" s="8"/>
      <c r="B320" s="8"/>
    </row>
    <row r="321" spans="1:2" ht="12.75">
      <c r="A321" s="8"/>
      <c r="B321" s="8"/>
    </row>
    <row r="322" spans="1:2" ht="12.75">
      <c r="A322" s="8"/>
      <c r="B322" s="8"/>
    </row>
    <row r="323" spans="1:2" ht="12.75">
      <c r="A323" s="8"/>
      <c r="B323" s="8"/>
    </row>
    <row r="324" spans="1:2" ht="12.75">
      <c r="A324" s="8"/>
      <c r="B324" s="8"/>
    </row>
    <row r="325" spans="1:2" ht="12.75">
      <c r="A325" s="8"/>
      <c r="B325" s="8"/>
    </row>
    <row r="326" spans="1:2" ht="12.75">
      <c r="A326" s="8"/>
      <c r="B326" s="8"/>
    </row>
    <row r="327" spans="1:2" ht="12.75">
      <c r="A327" s="8"/>
      <c r="B327" s="8"/>
    </row>
    <row r="328" spans="1:2" ht="12.75">
      <c r="A328" s="8"/>
      <c r="B328" s="8"/>
    </row>
    <row r="329" spans="1:2" ht="12.75">
      <c r="A329" s="8"/>
      <c r="B329" s="8"/>
    </row>
    <row r="330" spans="1:2" ht="12.75">
      <c r="A330" s="8"/>
      <c r="B330" s="8"/>
    </row>
    <row r="331" spans="1:2" ht="12.75">
      <c r="A331" s="8"/>
      <c r="B331" s="8"/>
    </row>
    <row r="332" spans="1:2" ht="12.75">
      <c r="A332" s="8"/>
      <c r="B332" s="8"/>
    </row>
    <row r="333" spans="1:2" ht="12.75">
      <c r="A333" s="8"/>
      <c r="B333" s="8"/>
    </row>
    <row r="334" spans="1:2" ht="12.75">
      <c r="A334" s="8"/>
      <c r="B334" s="8"/>
    </row>
    <row r="335" spans="1:2" ht="12.75">
      <c r="A335" s="8"/>
      <c r="B335" s="8"/>
    </row>
    <row r="336" spans="1:2" ht="12.75">
      <c r="A336" s="8"/>
      <c r="B336" s="8"/>
    </row>
    <row r="337" spans="1:2" ht="12.75">
      <c r="A337" s="8"/>
      <c r="B337" s="8"/>
    </row>
    <row r="338" spans="1:2" ht="12.75">
      <c r="A338" s="8"/>
      <c r="B338" s="8"/>
    </row>
    <row r="339" spans="1:2" ht="12.75">
      <c r="A339" s="8"/>
      <c r="B339" s="8"/>
    </row>
    <row r="340" spans="1:2" ht="12.75">
      <c r="A340" s="8"/>
      <c r="B340" s="8"/>
    </row>
    <row r="341" spans="1:2" ht="12.75">
      <c r="A341" s="8"/>
      <c r="B341" s="8"/>
    </row>
    <row r="342" spans="1:2" ht="12.75">
      <c r="A342" s="8"/>
      <c r="B342" s="8"/>
    </row>
    <row r="343" spans="1:2" ht="12.75">
      <c r="A343" s="8"/>
      <c r="B343" s="8"/>
    </row>
    <row r="344" spans="1:2" ht="12.75">
      <c r="A344" s="8"/>
      <c r="B344" s="8"/>
    </row>
    <row r="345" spans="1:2" ht="12.75">
      <c r="A345" s="8"/>
      <c r="B345" s="8"/>
    </row>
    <row r="346" spans="1:2" ht="12.75">
      <c r="A346" s="8"/>
      <c r="B346" s="8"/>
    </row>
    <row r="347" spans="1:2" ht="12.75">
      <c r="A347" s="8"/>
      <c r="B347" s="8"/>
    </row>
    <row r="348" spans="1:2" ht="12.75">
      <c r="A348" s="8"/>
      <c r="B348" s="8"/>
    </row>
    <row r="349" spans="1:2" ht="12.75">
      <c r="A349" s="8"/>
      <c r="B349" s="8"/>
    </row>
    <row r="350" spans="1:2" ht="12.75">
      <c r="A350" s="8"/>
      <c r="B350" s="8"/>
    </row>
    <row r="351" spans="1:2" ht="12.75">
      <c r="A351" s="8"/>
      <c r="B351" s="8"/>
    </row>
    <row r="352" spans="1:2" ht="12.75">
      <c r="A352" s="8"/>
      <c r="B352" s="8"/>
    </row>
    <row r="353" spans="1:2" ht="12.75">
      <c r="A353" s="8"/>
      <c r="B353" s="8"/>
    </row>
    <row r="354" spans="1:2" ht="12.75">
      <c r="A354" s="8"/>
      <c r="B354" s="8"/>
    </row>
    <row r="355" spans="1:2" ht="12.75">
      <c r="A355" s="8"/>
      <c r="B355" s="8"/>
    </row>
    <row r="356" spans="1:2" ht="12.75">
      <c r="A356" s="8"/>
      <c r="B356" s="8"/>
    </row>
    <row r="357" spans="1:2" ht="12.75">
      <c r="A357" s="8"/>
      <c r="B357" s="8"/>
    </row>
    <row r="358" spans="1:2" ht="12.75">
      <c r="A358" s="8"/>
      <c r="B358" s="8"/>
    </row>
    <row r="359" spans="1:2" ht="12.75">
      <c r="A359" s="8"/>
      <c r="B359" s="8"/>
    </row>
    <row r="360" spans="1:2" ht="12.75">
      <c r="A360" s="8"/>
      <c r="B360" s="8"/>
    </row>
    <row r="361" spans="1:2" ht="12.75">
      <c r="A361" s="8"/>
      <c r="B361" s="8"/>
    </row>
    <row r="362" spans="1:2" ht="12.75">
      <c r="A362" s="8"/>
      <c r="B362" s="8"/>
    </row>
    <row r="363" spans="1:2" ht="12.75">
      <c r="A363" s="8"/>
      <c r="B363" s="8"/>
    </row>
    <row r="364" spans="1:2" ht="12.75">
      <c r="A364" s="8"/>
      <c r="B364" s="8"/>
    </row>
    <row r="365" spans="1:2" ht="12.75">
      <c r="A365" s="8"/>
      <c r="B365" s="8"/>
    </row>
    <row r="366" spans="1:2" ht="12.75">
      <c r="A366" s="8"/>
      <c r="B366" s="8"/>
    </row>
    <row r="367" spans="1:2" ht="12.75">
      <c r="A367" s="8"/>
      <c r="B367" s="8"/>
    </row>
    <row r="368" spans="1:2" ht="12.75">
      <c r="A368" s="8"/>
      <c r="B368" s="8"/>
    </row>
    <row r="369" spans="1:2" ht="12.75">
      <c r="A369" s="8"/>
      <c r="B369" s="8"/>
    </row>
    <row r="370" spans="1:2" ht="12.75">
      <c r="A370" s="8"/>
      <c r="B370" s="8"/>
    </row>
    <row r="371" spans="1:2" ht="12.75">
      <c r="A371" s="8"/>
      <c r="B371" s="8"/>
    </row>
    <row r="372" spans="1:2" ht="12.75">
      <c r="A372" s="8"/>
      <c r="B372" s="8"/>
    </row>
    <row r="373" spans="1:2" ht="12.75">
      <c r="A373" s="8"/>
      <c r="B373" s="8"/>
    </row>
    <row r="374" spans="1:2" ht="12.75">
      <c r="A374" s="8"/>
      <c r="B374" s="8"/>
    </row>
    <row r="375" spans="1:2" ht="12.75">
      <c r="A375" s="8"/>
      <c r="B375" s="8"/>
    </row>
    <row r="376" spans="1:2" ht="12.75">
      <c r="A376" s="8"/>
      <c r="B376" s="8"/>
    </row>
    <row r="377" spans="1:2" ht="12.75">
      <c r="A377" s="8"/>
      <c r="B377" s="8"/>
    </row>
    <row r="378" spans="1:2" ht="12.75">
      <c r="A378" s="8"/>
      <c r="B378" s="8"/>
    </row>
    <row r="379" spans="1:2" ht="12.75">
      <c r="A379" s="8"/>
      <c r="B379" s="8"/>
    </row>
    <row r="380" spans="1:2" ht="12.75">
      <c r="A380" s="8"/>
      <c r="B380" s="8"/>
    </row>
    <row r="381" spans="1:2" ht="12.75">
      <c r="A381" s="8"/>
      <c r="B381" s="8"/>
    </row>
    <row r="382" spans="1:2" ht="12.75">
      <c r="A382" s="8"/>
      <c r="B382" s="8"/>
    </row>
    <row r="383" spans="1:2" ht="12.75">
      <c r="A383" s="8"/>
      <c r="B383" s="8"/>
    </row>
    <row r="384" spans="1:2" ht="12.75">
      <c r="A384" s="8"/>
      <c r="B384" s="8"/>
    </row>
    <row r="385" spans="1:2" ht="12.75">
      <c r="A385" s="8"/>
      <c r="B385" s="8"/>
    </row>
    <row r="386" spans="1:2" ht="12.75">
      <c r="A386" s="8"/>
      <c r="B386" s="8"/>
    </row>
    <row r="387" spans="1:2" ht="12.75">
      <c r="A387" s="8"/>
      <c r="B387" s="8"/>
    </row>
    <row r="388" spans="1:2" ht="12.75">
      <c r="A388" s="8"/>
      <c r="B388" s="8"/>
    </row>
    <row r="389" spans="1:2" ht="12.75">
      <c r="A389" s="8"/>
      <c r="B389" s="8"/>
    </row>
    <row r="390" spans="1:2" ht="12.75">
      <c r="A390" s="8"/>
      <c r="B390" s="8"/>
    </row>
    <row r="391" spans="1:2" ht="12.75">
      <c r="A391" s="8"/>
      <c r="B391" s="8"/>
    </row>
    <row r="392" spans="1:2" ht="12.75">
      <c r="A392" s="8"/>
      <c r="B392" s="8"/>
    </row>
    <row r="393" spans="1:2" ht="12.75">
      <c r="A393" s="8"/>
      <c r="B393" s="8"/>
    </row>
    <row r="394" spans="1:2" ht="12.75">
      <c r="A394" s="8"/>
      <c r="B394" s="8"/>
    </row>
    <row r="395" spans="1:2" ht="12.75">
      <c r="A395" s="8"/>
      <c r="B395" s="8"/>
    </row>
    <row r="396" spans="1:2" ht="12.75">
      <c r="A396" s="8"/>
      <c r="B396" s="8"/>
    </row>
    <row r="397" spans="1:2" ht="12.75">
      <c r="A397" s="8"/>
      <c r="B397" s="8"/>
    </row>
    <row r="398" spans="1:2" ht="12.75">
      <c r="A398" s="8"/>
      <c r="B398" s="8"/>
    </row>
    <row r="399" spans="1:2" ht="12.75">
      <c r="A399" s="8"/>
      <c r="B399" s="8"/>
    </row>
    <row r="400" spans="1:2" ht="12.75">
      <c r="A400" s="8"/>
      <c r="B400" s="8"/>
    </row>
    <row r="401" spans="1:2" ht="12.75">
      <c r="A401" s="8"/>
      <c r="B401" s="8"/>
    </row>
    <row r="402" spans="1:2" ht="12.75">
      <c r="A402" s="8"/>
      <c r="B402" s="8"/>
    </row>
    <row r="403" spans="1:2" ht="12.75">
      <c r="A403" s="8"/>
      <c r="B403" s="8"/>
    </row>
    <row r="404" spans="1:2" ht="12.75">
      <c r="A404" s="8"/>
      <c r="B404" s="8"/>
    </row>
    <row r="405" spans="1:2" ht="12.75">
      <c r="A405" s="8"/>
      <c r="B405" s="8"/>
    </row>
    <row r="406" spans="1:2" ht="12.75">
      <c r="A406" s="8"/>
      <c r="B406" s="8"/>
    </row>
    <row r="407" spans="1:2" ht="12.75">
      <c r="A407" s="8"/>
      <c r="B407" s="8"/>
    </row>
    <row r="408" spans="1:2" ht="12.75">
      <c r="A408" s="8"/>
      <c r="B408" s="8"/>
    </row>
    <row r="409" spans="1:2" ht="12.75">
      <c r="A409" s="8"/>
      <c r="B409" s="8"/>
    </row>
    <row r="410" spans="1:2" ht="12.75">
      <c r="A410" s="8"/>
      <c r="B410" s="8"/>
    </row>
    <row r="411" spans="1:2" ht="12.75">
      <c r="A411" s="8"/>
      <c r="B411" s="8"/>
    </row>
    <row r="412" spans="1:2" ht="12.75">
      <c r="A412" s="8"/>
      <c r="B412" s="8"/>
    </row>
    <row r="413" spans="1:2" ht="12.75">
      <c r="A413" s="8"/>
      <c r="B413" s="8"/>
    </row>
    <row r="414" spans="1:2" ht="12.75">
      <c r="A414" s="8"/>
      <c r="B414" s="8"/>
    </row>
    <row r="415" spans="1:2" ht="12.75">
      <c r="A415" s="8"/>
      <c r="B415" s="8"/>
    </row>
    <row r="416" spans="1:2" ht="12.75">
      <c r="A416" s="8"/>
      <c r="B416" s="8"/>
    </row>
    <row r="417" spans="1:2" ht="12.75">
      <c r="A417" s="8"/>
      <c r="B417" s="8"/>
    </row>
    <row r="418" spans="1:2" ht="12.75">
      <c r="A418" s="8"/>
      <c r="B418" s="8"/>
    </row>
    <row r="419" spans="1:2" ht="12.75">
      <c r="A419" s="8"/>
      <c r="B419" s="8"/>
    </row>
    <row r="420" spans="1:2" ht="12.75">
      <c r="A420" s="8"/>
      <c r="B420" s="8"/>
    </row>
    <row r="421" spans="1:2" ht="12.75">
      <c r="A421" s="8"/>
      <c r="B421" s="8"/>
    </row>
    <row r="422" spans="1:2" ht="12.75">
      <c r="A422" s="8"/>
      <c r="B422" s="8"/>
    </row>
    <row r="423" spans="1:2" ht="12.75">
      <c r="A423" s="8"/>
      <c r="B423" s="8"/>
    </row>
    <row r="424" spans="1:2" ht="12.75">
      <c r="A424" s="8"/>
      <c r="B424" s="8"/>
    </row>
    <row r="425" spans="1:2" ht="12.75">
      <c r="A425" s="8"/>
      <c r="B425" s="8"/>
    </row>
    <row r="426" spans="1:2" ht="12.75">
      <c r="A426" s="8"/>
      <c r="B426" s="8"/>
    </row>
    <row r="427" spans="1:2" ht="12.75">
      <c r="A427" s="8"/>
      <c r="B427" s="8"/>
    </row>
    <row r="428" spans="1:2" ht="12.75">
      <c r="A428" s="8"/>
      <c r="B428" s="8"/>
    </row>
    <row r="429" spans="1:2" ht="12.75">
      <c r="A429" s="8"/>
      <c r="B429" s="8"/>
    </row>
    <row r="430" spans="1:2" ht="12.75">
      <c r="A430" s="8"/>
      <c r="B430" s="8"/>
    </row>
    <row r="431" spans="1:2" ht="12.75">
      <c r="A431" s="8"/>
      <c r="B431" s="8"/>
    </row>
    <row r="432" spans="1:2" ht="12.75">
      <c r="A432" s="8"/>
      <c r="B432" s="8"/>
    </row>
    <row r="433" spans="1:2" ht="12.75">
      <c r="A433" s="8"/>
      <c r="B433" s="8"/>
    </row>
    <row r="434" spans="1:2" ht="12.75">
      <c r="A434" s="8"/>
      <c r="B434" s="8"/>
    </row>
    <row r="435" spans="1:2" ht="12.75">
      <c r="A435" s="8"/>
      <c r="B435" s="8"/>
    </row>
    <row r="436" spans="1:2" ht="12.75">
      <c r="A436" s="8"/>
      <c r="B436" s="8"/>
    </row>
    <row r="437" spans="1:2" ht="12.75">
      <c r="A437" s="8"/>
      <c r="B437" s="8"/>
    </row>
    <row r="438" spans="1:2" ht="12.75">
      <c r="A438" s="8"/>
      <c r="B438" s="8"/>
    </row>
    <row r="439" spans="1:2" ht="12.75">
      <c r="A439" s="8"/>
      <c r="B439" s="8"/>
    </row>
    <row r="440" spans="1:2" ht="12.75">
      <c r="A440" s="8"/>
      <c r="B440" s="8"/>
    </row>
    <row r="441" spans="1:2" ht="12.75">
      <c r="A441" s="8"/>
      <c r="B441" s="8"/>
    </row>
    <row r="442" spans="1:2" ht="12.75">
      <c r="A442" s="8"/>
      <c r="B442" s="8"/>
    </row>
    <row r="443" spans="1:2" ht="12.75">
      <c r="A443" s="8"/>
      <c r="B443" s="8"/>
    </row>
    <row r="444" spans="1:2" ht="12.75">
      <c r="A444" s="8"/>
      <c r="B444" s="8"/>
    </row>
    <row r="445" spans="1:2" ht="12.75">
      <c r="A445" s="8"/>
      <c r="B445" s="8"/>
    </row>
    <row r="446" spans="1:2" ht="12.75">
      <c r="A446" s="8"/>
      <c r="B446" s="8"/>
    </row>
    <row r="447" spans="1:2" ht="12.75">
      <c r="A447" s="8"/>
      <c r="B447" s="8"/>
    </row>
    <row r="448" spans="1:2" ht="12.75">
      <c r="A448" s="8"/>
      <c r="B448" s="8"/>
    </row>
    <row r="449" spans="1:2" ht="12.75">
      <c r="A449" s="8"/>
      <c r="B449" s="8"/>
    </row>
    <row r="450" spans="1:2" ht="12.75">
      <c r="A450" s="8"/>
      <c r="B450" s="8"/>
    </row>
    <row r="451" spans="1:2" ht="12.75">
      <c r="A451" s="8"/>
      <c r="B451" s="8"/>
    </row>
    <row r="452" spans="1:2" ht="12.75">
      <c r="A452" s="8"/>
      <c r="B452" s="8"/>
    </row>
    <row r="453" spans="1:2" ht="12.75">
      <c r="A453" s="8"/>
      <c r="B453" s="8"/>
    </row>
    <row r="454" spans="1:2" ht="12.75">
      <c r="A454" s="8"/>
      <c r="B454" s="8"/>
    </row>
    <row r="455" spans="1:2" ht="12.75">
      <c r="A455" s="8"/>
      <c r="B455" s="8"/>
    </row>
    <row r="456" spans="1:2" ht="12.75">
      <c r="A456" s="8"/>
      <c r="B456" s="8"/>
    </row>
    <row r="457" spans="1:2" ht="12.75">
      <c r="A457" s="8"/>
      <c r="B457" s="8"/>
    </row>
    <row r="458" spans="1:2" ht="12.75">
      <c r="A458" s="8"/>
      <c r="B458" s="8"/>
    </row>
    <row r="459" spans="1:2" ht="12.75">
      <c r="A459" s="8"/>
      <c r="B459" s="8"/>
    </row>
    <row r="460" spans="1:2" ht="12.75">
      <c r="A460" s="8"/>
      <c r="B460" s="8"/>
    </row>
    <row r="461" spans="1:2" ht="12.75">
      <c r="A461" s="8"/>
      <c r="B461" s="8"/>
    </row>
    <row r="462" spans="1:2" ht="12.75">
      <c r="A462" s="8"/>
      <c r="B462" s="8"/>
    </row>
    <row r="463" spans="1:2" ht="12.75">
      <c r="A463" s="8"/>
      <c r="B463" s="8"/>
    </row>
    <row r="464" spans="1:2" ht="12.75">
      <c r="A464" s="8"/>
      <c r="B464" s="8"/>
    </row>
    <row r="465" spans="1:2" ht="12.75">
      <c r="A465" s="8"/>
      <c r="B465" s="8"/>
    </row>
    <row r="466" spans="1:2" ht="12.75">
      <c r="A466" s="8"/>
      <c r="B466" s="8"/>
    </row>
    <row r="467" spans="1:2" ht="12.75">
      <c r="A467" s="8"/>
      <c r="B467" s="8"/>
    </row>
    <row r="468" spans="1:2" ht="12.75">
      <c r="A468" s="8"/>
      <c r="B468" s="8"/>
    </row>
    <row r="469" spans="1:2" ht="12.75">
      <c r="A469" s="8"/>
      <c r="B469" s="8"/>
    </row>
    <row r="470" spans="1:2" ht="12.75">
      <c r="A470" s="8"/>
      <c r="B470" s="8"/>
    </row>
    <row r="471" spans="1:2" ht="12.75">
      <c r="A471" s="8"/>
      <c r="B471" s="8"/>
    </row>
    <row r="472" spans="1:2" ht="12.75">
      <c r="A472" s="8"/>
      <c r="B472" s="8"/>
    </row>
    <row r="473" spans="1:2" ht="12.75">
      <c r="A473" s="8"/>
      <c r="B473" s="8"/>
    </row>
    <row r="474" spans="1:2" ht="12.75">
      <c r="A474" s="8"/>
      <c r="B474" s="8"/>
    </row>
    <row r="475" spans="1:2" ht="12.75">
      <c r="A475" s="8"/>
      <c r="B475" s="8"/>
    </row>
    <row r="476" spans="1:2" ht="12.75">
      <c r="A476" s="8"/>
      <c r="B476" s="8"/>
    </row>
    <row r="477" spans="1:2" ht="12.75">
      <c r="A477" s="8"/>
      <c r="B477" s="8"/>
    </row>
    <row r="478" spans="1:2" ht="12.75">
      <c r="A478" s="8"/>
      <c r="B478" s="8"/>
    </row>
    <row r="479" spans="1:2" ht="12.75">
      <c r="A479" s="8"/>
      <c r="B479" s="8"/>
    </row>
    <row r="480" spans="1:2" ht="12.75">
      <c r="A480" s="8"/>
      <c r="B480" s="8"/>
    </row>
    <row r="481" spans="1:2" ht="12.75">
      <c r="A481" s="8"/>
      <c r="B481" s="8"/>
    </row>
    <row r="482" spans="1:2" ht="12.75">
      <c r="A482" s="8"/>
      <c r="B482" s="8"/>
    </row>
    <row r="483" spans="1:2" ht="12.75">
      <c r="A483" s="8"/>
      <c r="B483" s="8"/>
    </row>
    <row r="484" spans="1:2" ht="12.75">
      <c r="A484" s="8"/>
      <c r="B484" s="8"/>
    </row>
    <row r="485" spans="1:2" ht="12.75">
      <c r="A485" s="8"/>
      <c r="B485" s="8"/>
    </row>
    <row r="486" spans="1:2" ht="12.75">
      <c r="A486" s="8"/>
      <c r="B486" s="8"/>
    </row>
    <row r="487" spans="1:2" ht="12.75">
      <c r="A487" s="8"/>
      <c r="B487" s="8"/>
    </row>
    <row r="488" spans="1:2" ht="12.75">
      <c r="A488" s="8"/>
      <c r="B488" s="8"/>
    </row>
    <row r="489" spans="1:2" ht="12.75">
      <c r="A489" s="8"/>
      <c r="B489" s="8"/>
    </row>
    <row r="490" spans="1:2" ht="12.75">
      <c r="A490" s="8"/>
      <c r="B490" s="8"/>
    </row>
    <row r="491" spans="1:2" ht="12.75">
      <c r="A491" s="8"/>
      <c r="B491" s="8"/>
    </row>
    <row r="492" spans="1:2" ht="12.75">
      <c r="A492" s="8"/>
      <c r="B492" s="8"/>
    </row>
    <row r="493" spans="1:2" ht="12.75">
      <c r="A493" s="8"/>
      <c r="B493" s="8"/>
    </row>
    <row r="494" spans="1:2" ht="12.75">
      <c r="A494" s="8"/>
      <c r="B494" s="8"/>
    </row>
    <row r="495" spans="1:2" ht="12.75">
      <c r="A495" s="8"/>
      <c r="B495" s="8"/>
    </row>
    <row r="496" spans="1:2" ht="12.75">
      <c r="A496" s="8"/>
      <c r="B496" s="8"/>
    </row>
    <row r="497" spans="1:2" ht="12.75">
      <c r="A497" s="8"/>
      <c r="B497" s="8"/>
    </row>
    <row r="498" ht="12.75">
      <c r="A498" s="8"/>
    </row>
  </sheetData>
  <sheetProtection password="87D5" sheet="1" formatCells="0" formatColumns="0" formatRows="0" insertColumns="0" insertRows="0" insertHyperlinks="0" deleteColumns="0" deleteRows="0" pivotTables="0"/>
  <mergeCells count="13">
    <mergeCell ref="D7:E7"/>
    <mergeCell ref="F7:I8"/>
    <mergeCell ref="A9:I10"/>
    <mergeCell ref="A11:I11"/>
    <mergeCell ref="A12:I12"/>
    <mergeCell ref="A14:B14"/>
    <mergeCell ref="D14:H14"/>
    <mergeCell ref="A1:C1"/>
    <mergeCell ref="E1:H1"/>
    <mergeCell ref="E2:H2"/>
    <mergeCell ref="F3:G3"/>
    <mergeCell ref="A4:E5"/>
    <mergeCell ref="H4:I4"/>
  </mergeCells>
  <hyperlinks>
    <hyperlink ref="J235" r:id="rId1" display="www.superfinanciera.gov.co"/>
  </hyperlinks>
  <printOptions/>
  <pageMargins left="0.7" right="0.7" top="0.75" bottom="0.75" header="0.3" footer="0.3"/>
  <pageSetup horizontalDpi="300" verticalDpi="3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RAML</Manager>
  <Company>RAML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RAML</dc:creator>
  <cp:keywords/>
  <dc:description/>
  <cp:lastModifiedBy>ELIANA Ma. ...</cp:lastModifiedBy>
  <cp:lastPrinted>2020-03-29T22:20:40Z</cp:lastPrinted>
  <dcterms:created xsi:type="dcterms:W3CDTF">2000-07-13T13:07:03Z</dcterms:created>
  <dcterms:modified xsi:type="dcterms:W3CDTF">2020-06-09T22:09:33Z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